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e8e42388da4d0745/Desktop/"/>
    </mc:Choice>
  </mc:AlternateContent>
  <xr:revisionPtr revIDLastSave="0" documentId="8_{163A885B-303B-4BDA-A97A-F265848B10C6}" xr6:coauthVersionLast="45" xr6:coauthVersionMax="45" xr10:uidLastSave="{00000000-0000-0000-0000-000000000000}"/>
  <bookViews>
    <workbookView xWindow="-110" yWindow="-110" windowWidth="19420" windowHeight="10560" tabRatio="763" firstSheet="2" activeTab="7" xr2:uid="{00000000-000D-0000-FFFF-FFFF00000000}"/>
  </bookViews>
  <sheets>
    <sheet name="Heading" sheetId="3" r:id="rId1"/>
    <sheet name="Sales Budget" sheetId="1" r:id="rId2"/>
    <sheet name="Production budget" sheetId="12" r:id="rId3"/>
    <sheet name="COGM" sheetId="10" r:id="rId4"/>
    <sheet name="COGS" sheetId="11" r:id="rId5"/>
    <sheet name="SG&amp;A" sheetId="2" r:id="rId6"/>
    <sheet name="Cash budget" sheetId="4" r:id="rId7"/>
    <sheet name="Income Statement" sheetId="20" r:id="rId8"/>
    <sheet name="Cash Flow statement" sheetId="17" r:id="rId9"/>
    <sheet name="BS" sheetId="16" r:id="rId10"/>
    <sheet name="S&amp;OP" sheetId="18" r:id="rId11"/>
    <sheet name="Gantt chart" sheetId="19"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20" l="1"/>
  <c r="F16" i="20"/>
  <c r="G16" i="20"/>
  <c r="D14" i="16" l="1"/>
  <c r="E11" i="17"/>
  <c r="F10" i="16" s="1"/>
  <c r="D11" i="17"/>
  <c r="E10" i="16" s="1"/>
  <c r="C11" i="17"/>
  <c r="D10" i="16" s="1"/>
  <c r="F12" i="16"/>
  <c r="E12" i="16"/>
  <c r="E13" i="16"/>
  <c r="F13" i="16"/>
  <c r="D13" i="16"/>
  <c r="E9" i="16"/>
  <c r="F9" i="16"/>
  <c r="D9" i="16"/>
  <c r="G6" i="20"/>
  <c r="F6" i="20"/>
  <c r="E6" i="20"/>
  <c r="E20" i="17"/>
  <c r="D20" i="17"/>
  <c r="C20" i="17"/>
  <c r="E9" i="17"/>
  <c r="D9" i="17"/>
  <c r="C9" i="17"/>
  <c r="E12" i="20"/>
  <c r="F12" i="20"/>
  <c r="G12" i="20"/>
  <c r="E13" i="20"/>
  <c r="F13" i="20"/>
  <c r="G13" i="20"/>
  <c r="E14" i="20"/>
  <c r="F14" i="20"/>
  <c r="G14" i="20"/>
  <c r="E15" i="20"/>
  <c r="F15" i="20"/>
  <c r="G15" i="20"/>
  <c r="E17" i="20"/>
  <c r="F17" i="20"/>
  <c r="G17" i="20"/>
  <c r="E18" i="20"/>
  <c r="F18" i="20"/>
  <c r="G18" i="20"/>
  <c r="E19" i="20"/>
  <c r="F19" i="20"/>
  <c r="G19" i="20"/>
  <c r="E20" i="20"/>
  <c r="F20" i="20"/>
  <c r="G20" i="20"/>
  <c r="E21" i="20"/>
  <c r="F21" i="20"/>
  <c r="G21" i="20"/>
  <c r="E10" i="17" l="1"/>
  <c r="D10" i="17"/>
  <c r="N81" i="1"/>
  <c r="M80" i="1"/>
  <c r="O80" i="1" s="1"/>
  <c r="L79" i="1"/>
  <c r="O79" i="1" s="1"/>
  <c r="K78" i="1"/>
  <c r="O78" i="1" s="1"/>
  <c r="J77" i="1"/>
  <c r="I76" i="1"/>
  <c r="H75" i="1"/>
  <c r="G74" i="1"/>
  <c r="O74" i="1" s="1"/>
  <c r="F73" i="1"/>
  <c r="N84" i="1"/>
  <c r="M83" i="1"/>
  <c r="L82" i="1"/>
  <c r="K81" i="1"/>
  <c r="J80" i="1"/>
  <c r="I79" i="1"/>
  <c r="H78" i="1"/>
  <c r="G77" i="1"/>
  <c r="F76" i="1"/>
  <c r="E75" i="1"/>
  <c r="D74" i="1"/>
  <c r="C73" i="1"/>
  <c r="N70" i="1"/>
  <c r="M70" i="1"/>
  <c r="L70" i="1"/>
  <c r="J70" i="1"/>
  <c r="K70" i="1"/>
  <c r="I70" i="1"/>
  <c r="G70" i="1"/>
  <c r="H70" i="1"/>
  <c r="F70" i="1"/>
  <c r="D70" i="1"/>
  <c r="E70" i="1"/>
  <c r="C70" i="1"/>
  <c r="N69" i="1"/>
  <c r="M69" i="1"/>
  <c r="L69" i="1"/>
  <c r="J69" i="1"/>
  <c r="K69" i="1"/>
  <c r="I69" i="1"/>
  <c r="G69" i="1"/>
  <c r="H69" i="1"/>
  <c r="F69" i="1"/>
  <c r="D69" i="1"/>
  <c r="E69" i="1"/>
  <c r="C69" i="1"/>
  <c r="L85" i="1"/>
  <c r="H85" i="1"/>
  <c r="D85" i="1"/>
  <c r="O84" i="1"/>
  <c r="O83" i="1"/>
  <c r="P82" i="1"/>
  <c r="O82" i="1"/>
  <c r="N85" i="1"/>
  <c r="M85" i="1"/>
  <c r="J85" i="1"/>
  <c r="I85" i="1"/>
  <c r="O76" i="1"/>
  <c r="O75" i="1"/>
  <c r="G85" i="1"/>
  <c r="F85" i="1"/>
  <c r="C85" i="1"/>
  <c r="P84" i="1"/>
  <c r="P83" i="1"/>
  <c r="I49" i="1"/>
  <c r="P65" i="1"/>
  <c r="P63" i="1"/>
  <c r="P62" i="1"/>
  <c r="P61" i="1"/>
  <c r="O54" i="1"/>
  <c r="O53" i="1"/>
  <c r="O52" i="1"/>
  <c r="L64" i="1"/>
  <c r="J64" i="1"/>
  <c r="I64" i="1"/>
  <c r="H64" i="1"/>
  <c r="G64" i="1"/>
  <c r="F64" i="1"/>
  <c r="E64" i="1"/>
  <c r="D64" i="1"/>
  <c r="C64" i="1"/>
  <c r="N63" i="1"/>
  <c r="M62" i="1"/>
  <c r="M64" i="1" s="1"/>
  <c r="L61" i="1"/>
  <c r="K60" i="1"/>
  <c r="J59" i="1"/>
  <c r="I58" i="1"/>
  <c r="N60" i="1"/>
  <c r="M59" i="1"/>
  <c r="L58" i="1"/>
  <c r="K57" i="1"/>
  <c r="J56" i="1"/>
  <c r="I55" i="1"/>
  <c r="H57" i="1"/>
  <c r="G56" i="1"/>
  <c r="F55" i="1"/>
  <c r="H54" i="1"/>
  <c r="G53" i="1"/>
  <c r="F52" i="1"/>
  <c r="E54" i="1"/>
  <c r="D53" i="1"/>
  <c r="C52" i="1"/>
  <c r="O49" i="1"/>
  <c r="N49" i="1"/>
  <c r="O63" i="1" s="1"/>
  <c r="M49" i="1"/>
  <c r="L49" i="1"/>
  <c r="J49" i="1"/>
  <c r="K49" i="1"/>
  <c r="G49" i="1"/>
  <c r="H49" i="1"/>
  <c r="F49" i="1"/>
  <c r="D49" i="1"/>
  <c r="E49" i="1"/>
  <c r="C49" i="1"/>
  <c r="O48" i="1"/>
  <c r="M48" i="1"/>
  <c r="N48" i="1"/>
  <c r="L48" i="1"/>
  <c r="J48" i="1"/>
  <c r="K48" i="1"/>
  <c r="I48" i="1"/>
  <c r="D48" i="1"/>
  <c r="E48" i="1"/>
  <c r="G48" i="1"/>
  <c r="H48" i="1"/>
  <c r="F48" i="1"/>
  <c r="C48" i="1"/>
  <c r="O62" i="1"/>
  <c r="O61" i="1"/>
  <c r="O57" i="1"/>
  <c r="C10" i="17"/>
  <c r="P44" i="1"/>
  <c r="O43" i="1"/>
  <c r="O42" i="1"/>
  <c r="O41" i="1"/>
  <c r="O40" i="1"/>
  <c r="O39" i="1"/>
  <c r="O38" i="1"/>
  <c r="O37" i="1"/>
  <c r="O36" i="1"/>
  <c r="O35" i="1"/>
  <c r="O34" i="1"/>
  <c r="N43" i="1"/>
  <c r="M43" i="1"/>
  <c r="L43" i="1"/>
  <c r="K43" i="1"/>
  <c r="J43" i="1"/>
  <c r="I43" i="1"/>
  <c r="H43" i="1"/>
  <c r="G43" i="1"/>
  <c r="F43" i="1"/>
  <c r="P42" i="1"/>
  <c r="N42" i="1"/>
  <c r="P41" i="1"/>
  <c r="M41" i="1"/>
  <c r="N27" i="1"/>
  <c r="M27" i="1"/>
  <c r="L27" i="1"/>
  <c r="J27" i="1"/>
  <c r="K27" i="1"/>
  <c r="I27" i="1"/>
  <c r="G27" i="1"/>
  <c r="H27" i="1"/>
  <c r="F27" i="1"/>
  <c r="O28" i="1"/>
  <c r="N28" i="1"/>
  <c r="M28" i="1"/>
  <c r="L28" i="1"/>
  <c r="K28" i="1"/>
  <c r="J28" i="1"/>
  <c r="N39" i="1"/>
  <c r="I28" i="1"/>
  <c r="H28" i="1"/>
  <c r="H36" i="1" s="1"/>
  <c r="G28" i="1"/>
  <c r="J35" i="1" s="1"/>
  <c r="F28" i="1"/>
  <c r="I34" i="1"/>
  <c r="F34" i="1"/>
  <c r="P40" i="1"/>
  <c r="L40" i="1"/>
  <c r="K39" i="1"/>
  <c r="M38" i="1"/>
  <c r="J38" i="1"/>
  <c r="L37" i="1"/>
  <c r="I37" i="1"/>
  <c r="O27" i="1"/>
  <c r="F23" i="1"/>
  <c r="E23" i="1"/>
  <c r="F22" i="16"/>
  <c r="E22" i="16"/>
  <c r="D22" i="16"/>
  <c r="G9" i="20"/>
  <c r="F9" i="20"/>
  <c r="G8" i="20"/>
  <c r="F8" i="20"/>
  <c r="E9" i="20"/>
  <c r="E8" i="20"/>
  <c r="D29" i="17"/>
  <c r="E29" i="17"/>
  <c r="C29" i="17"/>
  <c r="F13" i="2"/>
  <c r="G13" i="2"/>
  <c r="H13" i="2"/>
  <c r="I13" i="2"/>
  <c r="J13" i="2"/>
  <c r="K13" i="2"/>
  <c r="L13" i="2"/>
  <c r="M13" i="2"/>
  <c r="N13" i="2"/>
  <c r="O13" i="2"/>
  <c r="E13" i="2"/>
  <c r="E11" i="2"/>
  <c r="F11" i="2"/>
  <c r="G11" i="2"/>
  <c r="H11" i="2"/>
  <c r="I11" i="2"/>
  <c r="J11" i="2"/>
  <c r="K11" i="2"/>
  <c r="L11" i="2"/>
  <c r="M11" i="2"/>
  <c r="N11" i="2"/>
  <c r="O11" i="2"/>
  <c r="D11" i="2"/>
  <c r="D14" i="17" l="1"/>
  <c r="F22" i="20"/>
  <c r="C14" i="17"/>
  <c r="E22" i="20"/>
  <c r="K85" i="1"/>
  <c r="O70" i="1"/>
  <c r="O69" i="1"/>
  <c r="O85" i="1"/>
  <c r="P86" i="1"/>
  <c r="O73" i="1"/>
  <c r="O77" i="1"/>
  <c r="O81" i="1"/>
  <c r="E85" i="1"/>
  <c r="O58" i="1"/>
  <c r="N64" i="1"/>
  <c r="O60" i="1"/>
  <c r="O59" i="1"/>
  <c r="K36" i="1"/>
  <c r="G35" i="1"/>
  <c r="E14" i="17" l="1"/>
  <c r="G22" i="20"/>
  <c r="G24" i="20" s="1"/>
  <c r="O56" i="1"/>
  <c r="O64" i="1"/>
  <c r="O55" i="1"/>
  <c r="K64" i="1"/>
  <c r="O14" i="18" l="1"/>
  <c r="D14" i="18"/>
  <c r="O31" i="18"/>
  <c r="E34" i="18" l="1"/>
  <c r="F34" i="18"/>
  <c r="G34" i="18"/>
  <c r="H34" i="18"/>
  <c r="I34" i="18"/>
  <c r="J34" i="18"/>
  <c r="K34" i="18"/>
  <c r="L34" i="18"/>
  <c r="M34" i="18"/>
  <c r="N34" i="18"/>
  <c r="O34" i="18"/>
  <c r="D34" i="18"/>
  <c r="F32" i="12"/>
  <c r="G32" i="12"/>
  <c r="H32" i="12"/>
  <c r="H33" i="12" s="1"/>
  <c r="H34" i="12" s="1"/>
  <c r="I32" i="12"/>
  <c r="I33" i="12" s="1"/>
  <c r="J35" i="12" s="1"/>
  <c r="J32" i="12"/>
  <c r="K32" i="12"/>
  <c r="L32" i="12"/>
  <c r="L33" i="12" s="1"/>
  <c r="L34" i="12" s="1"/>
  <c r="M32" i="12"/>
  <c r="M33" i="12" s="1"/>
  <c r="N35" i="12" s="1"/>
  <c r="N32" i="12"/>
  <c r="O32" i="12"/>
  <c r="E32" i="12"/>
  <c r="E33" i="12" s="1"/>
  <c r="F35" i="12" s="1"/>
  <c r="D6" i="12"/>
  <c r="O33" i="12"/>
  <c r="O34" i="12" s="1"/>
  <c r="N33" i="12"/>
  <c r="O35" i="12" s="1"/>
  <c r="K33" i="12"/>
  <c r="K34" i="12" s="1"/>
  <c r="J33" i="12"/>
  <c r="J34" i="12" s="1"/>
  <c r="G33" i="12"/>
  <c r="H35" i="12" s="1"/>
  <c r="F33" i="12"/>
  <c r="G35" i="12" s="1"/>
  <c r="F10" i="2"/>
  <c r="G10" i="2"/>
  <c r="H10" i="2"/>
  <c r="I10" i="2"/>
  <c r="J10" i="2"/>
  <c r="K10" i="2"/>
  <c r="L10" i="2"/>
  <c r="M10" i="2"/>
  <c r="N10" i="2"/>
  <c r="O10" i="2"/>
  <c r="E10" i="2"/>
  <c r="G34" i="12" l="1"/>
  <c r="O36" i="12"/>
  <c r="I34" i="12"/>
  <c r="N34" i="12"/>
  <c r="N36" i="12" s="1"/>
  <c r="K35" i="12"/>
  <c r="K36" i="12" s="1"/>
  <c r="M34" i="12"/>
  <c r="L35" i="12"/>
  <c r="L36" i="12" s="1"/>
  <c r="G36" i="12"/>
  <c r="H36" i="12"/>
  <c r="F34" i="12"/>
  <c r="J36" i="12"/>
  <c r="F36" i="12"/>
  <c r="E34" i="12"/>
  <c r="E36" i="12" s="1"/>
  <c r="I35" i="12"/>
  <c r="I36" i="12" s="1"/>
  <c r="M35" i="12"/>
  <c r="M36" i="12" s="1"/>
  <c r="F25" i="16"/>
  <c r="D25" i="16"/>
  <c r="E22" i="17"/>
  <c r="D22" i="17"/>
  <c r="G7" i="20"/>
  <c r="F7" i="20"/>
  <c r="E7" i="20"/>
  <c r="K8" i="2"/>
  <c r="L8" i="2"/>
  <c r="D9" i="2"/>
  <c r="O16" i="2"/>
  <c r="N16" i="2"/>
  <c r="M16" i="2"/>
  <c r="L16" i="2"/>
  <c r="K16" i="2"/>
  <c r="J16" i="2"/>
  <c r="I16" i="2"/>
  <c r="H16" i="2"/>
  <c r="G16" i="2"/>
  <c r="F16" i="2"/>
  <c r="E16" i="2"/>
  <c r="D16" i="2"/>
  <c r="F12" i="2"/>
  <c r="O8" i="2"/>
  <c r="N8" i="2"/>
  <c r="M8" i="2"/>
  <c r="J8" i="2"/>
  <c r="I8" i="2"/>
  <c r="H8" i="2"/>
  <c r="G8" i="2"/>
  <c r="F8" i="2"/>
  <c r="F17" i="2" s="1"/>
  <c r="E8" i="2"/>
  <c r="E17" i="2" s="1"/>
  <c r="D8" i="2"/>
  <c r="E25" i="16" l="1"/>
  <c r="D17" i="2"/>
  <c r="D12" i="16"/>
  <c r="C22" i="17" s="1"/>
  <c r="G12" i="2"/>
  <c r="H12" i="2" l="1"/>
  <c r="H17" i="2" s="1"/>
  <c r="G17" i="2"/>
  <c r="I12" i="2"/>
  <c r="I17" i="2" s="1"/>
  <c r="D30" i="16"/>
  <c r="E24" i="20" l="1"/>
  <c r="C8" i="17" s="1"/>
  <c r="C17" i="17" s="1"/>
  <c r="C31" i="17" s="1"/>
  <c r="J12" i="2"/>
  <c r="J17" i="2" s="1"/>
  <c r="C30" i="16"/>
  <c r="F14" i="16" l="1"/>
  <c r="K12" i="2"/>
  <c r="K17" i="2" s="1"/>
  <c r="E14" i="16"/>
  <c r="E31" i="18"/>
  <c r="F31" i="18"/>
  <c r="G31" i="18"/>
  <c r="H31" i="18"/>
  <c r="I31" i="18"/>
  <c r="J31" i="18"/>
  <c r="K31" i="18"/>
  <c r="L31" i="18"/>
  <c r="M31" i="18"/>
  <c r="N31" i="18"/>
  <c r="D31" i="18"/>
  <c r="E14" i="18"/>
  <c r="F14" i="18"/>
  <c r="G14" i="18"/>
  <c r="H14" i="18"/>
  <c r="I14" i="18"/>
  <c r="J14" i="18"/>
  <c r="K14" i="18"/>
  <c r="L14" i="18"/>
  <c r="M14" i="18"/>
  <c r="N14" i="18"/>
  <c r="F25" i="18"/>
  <c r="G25" i="18"/>
  <c r="H25" i="18"/>
  <c r="I25" i="18"/>
  <c r="J25" i="18"/>
  <c r="K25" i="18"/>
  <c r="L25" i="18"/>
  <c r="M25" i="18"/>
  <c r="N25" i="18"/>
  <c r="O25" i="18"/>
  <c r="E25" i="18"/>
  <c r="F7" i="11"/>
  <c r="G7" i="11"/>
  <c r="H7" i="11"/>
  <c r="I7" i="11"/>
  <c r="J7" i="11"/>
  <c r="K7" i="11"/>
  <c r="L7" i="11"/>
  <c r="M7" i="11"/>
  <c r="N7" i="11"/>
  <c r="O7" i="11"/>
  <c r="E7" i="11"/>
  <c r="F9" i="10"/>
  <c r="G9" i="10"/>
  <c r="H9" i="10"/>
  <c r="I9" i="10"/>
  <c r="J9" i="10"/>
  <c r="K9" i="10"/>
  <c r="L9" i="10"/>
  <c r="M9" i="10"/>
  <c r="N9" i="10"/>
  <c r="O9" i="10"/>
  <c r="E9" i="10"/>
  <c r="M22" i="12"/>
  <c r="N22" i="12"/>
  <c r="N23" i="12" s="1"/>
  <c r="O22" i="12"/>
  <c r="O23" i="12" s="1"/>
  <c r="L22" i="12"/>
  <c r="I22" i="12"/>
  <c r="J22" i="12"/>
  <c r="K24" i="12" s="1"/>
  <c r="K22" i="12"/>
  <c r="H22" i="12"/>
  <c r="H23" i="12" s="1"/>
  <c r="F22" i="12"/>
  <c r="F23" i="12" s="1"/>
  <c r="G22" i="12"/>
  <c r="G23" i="12" s="1"/>
  <c r="E22" i="12"/>
  <c r="M8" i="12"/>
  <c r="N8" i="12"/>
  <c r="N9" i="12" s="1"/>
  <c r="O8" i="12"/>
  <c r="O9" i="12" s="1"/>
  <c r="L8" i="12"/>
  <c r="L9" i="12" s="1"/>
  <c r="I8" i="12"/>
  <c r="J10" i="12" s="1"/>
  <c r="J8" i="12"/>
  <c r="K8" i="12"/>
  <c r="K9" i="12" s="1"/>
  <c r="H8" i="12"/>
  <c r="G8" i="12"/>
  <c r="F8" i="12"/>
  <c r="F9" i="12" s="1"/>
  <c r="E8" i="12"/>
  <c r="E6" i="12"/>
  <c r="F18" i="1"/>
  <c r="F24" i="20" l="1"/>
  <c r="D8" i="17" s="1"/>
  <c r="D17" i="17" s="1"/>
  <c r="D31" i="17" s="1"/>
  <c r="F10" i="12"/>
  <c r="E9" i="12"/>
  <c r="E11" i="12" s="1"/>
  <c r="F11" i="12"/>
  <c r="G9" i="12"/>
  <c r="H10" i="12"/>
  <c r="I10" i="12"/>
  <c r="H9" i="12"/>
  <c r="H11" i="12" s="1"/>
  <c r="K10" i="12"/>
  <c r="K11" i="12" s="1"/>
  <c r="J9" i="12"/>
  <c r="N10" i="12"/>
  <c r="N11" i="12" s="1"/>
  <c r="M9" i="12"/>
  <c r="E23" i="12"/>
  <c r="E25" i="12" s="1"/>
  <c r="F24" i="12"/>
  <c r="F25" i="12"/>
  <c r="L24" i="12"/>
  <c r="K23" i="12"/>
  <c r="I23" i="12"/>
  <c r="J24" i="12"/>
  <c r="M24" i="12"/>
  <c r="L23" i="12"/>
  <c r="N24" i="12"/>
  <c r="N25" i="12" s="1"/>
  <c r="M23" i="12"/>
  <c r="M25" i="12" s="1"/>
  <c r="L12" i="2"/>
  <c r="L17" i="2" s="1"/>
  <c r="C19" i="16"/>
  <c r="K25" i="12"/>
  <c r="J11" i="12"/>
  <c r="I9" i="12"/>
  <c r="I11" i="12" s="1"/>
  <c r="O10" i="12"/>
  <c r="O11" i="12" s="1"/>
  <c r="G10" i="12"/>
  <c r="G11" i="12" s="1"/>
  <c r="I24" i="12"/>
  <c r="I25" i="12" s="1"/>
  <c r="J23" i="12"/>
  <c r="J25" i="12" s="1"/>
  <c r="M10" i="12"/>
  <c r="M11" i="12" s="1"/>
  <c r="O24" i="12"/>
  <c r="O25" i="12" s="1"/>
  <c r="G24" i="12"/>
  <c r="G25" i="12" s="1"/>
  <c r="L10" i="12"/>
  <c r="L11" i="12" s="1"/>
  <c r="H24" i="12"/>
  <c r="H25" i="12" s="1"/>
  <c r="E28" i="18"/>
  <c r="E11" i="18"/>
  <c r="E8" i="18"/>
  <c r="F8" i="18"/>
  <c r="G8" i="18"/>
  <c r="H8" i="18"/>
  <c r="I8" i="18"/>
  <c r="J8" i="18"/>
  <c r="K8" i="18"/>
  <c r="L8" i="18"/>
  <c r="M8" i="18"/>
  <c r="N8" i="18"/>
  <c r="O8" i="18"/>
  <c r="D8" i="18"/>
  <c r="L25" i="12" l="1"/>
  <c r="M12" i="2"/>
  <c r="M17" i="2" s="1"/>
  <c r="C37" i="16"/>
  <c r="C39" i="16" s="1"/>
  <c r="C33" i="17"/>
  <c r="I28" i="18"/>
  <c r="O11" i="18"/>
  <c r="G11" i="18"/>
  <c r="H28" i="18"/>
  <c r="N11" i="18"/>
  <c r="F11" i="18"/>
  <c r="O28" i="18"/>
  <c r="G28" i="18"/>
  <c r="M11" i="18"/>
  <c r="N28" i="18"/>
  <c r="F28" i="18"/>
  <c r="L11" i="18"/>
  <c r="M28" i="18"/>
  <c r="I11" i="18"/>
  <c r="L28" i="18"/>
  <c r="J28" i="18"/>
  <c r="H11" i="18"/>
  <c r="K11" i="18"/>
  <c r="J11" i="18"/>
  <c r="K28" i="18"/>
  <c r="N12" i="2" l="1"/>
  <c r="N17" i="2" s="1"/>
  <c r="D10" i="11"/>
  <c r="O12" i="2" l="1"/>
  <c r="O17" i="2" s="1"/>
  <c r="E8" i="17"/>
  <c r="E17" i="17" s="1"/>
  <c r="E31" i="17" s="1"/>
  <c r="C51" i="3"/>
  <c r="D9" i="4" l="1"/>
  <c r="E11" i="11" l="1"/>
  <c r="F11" i="11"/>
  <c r="G11" i="11"/>
  <c r="H11" i="11"/>
  <c r="I11" i="11"/>
  <c r="J11" i="11"/>
  <c r="K11" i="11"/>
  <c r="L11" i="11"/>
  <c r="M11" i="11"/>
  <c r="N11" i="11"/>
  <c r="O11" i="11"/>
  <c r="D11" i="11"/>
  <c r="D12" i="11" s="1"/>
  <c r="E10" i="11"/>
  <c r="E12" i="11" s="1"/>
  <c r="F10" i="11"/>
  <c r="F12" i="11" s="1"/>
  <c r="G10" i="11"/>
  <c r="H10" i="11"/>
  <c r="H12" i="11" s="1"/>
  <c r="I10" i="11"/>
  <c r="J10" i="11"/>
  <c r="K10" i="11"/>
  <c r="L10" i="11"/>
  <c r="M10" i="11"/>
  <c r="M12" i="11" s="1"/>
  <c r="N10" i="11"/>
  <c r="N12" i="11" s="1"/>
  <c r="O10" i="11"/>
  <c r="O12" i="11" s="1"/>
  <c r="F12" i="10"/>
  <c r="F8" i="4" s="1"/>
  <c r="H12" i="10"/>
  <c r="H8" i="4" s="1"/>
  <c r="L12" i="10"/>
  <c r="L8" i="4" s="1"/>
  <c r="E12" i="10"/>
  <c r="E8" i="4" s="1"/>
  <c r="G12" i="10"/>
  <c r="G8" i="4" s="1"/>
  <c r="I12" i="10"/>
  <c r="I8" i="4" s="1"/>
  <c r="J12" i="10"/>
  <c r="J8" i="4" s="1"/>
  <c r="K12" i="10"/>
  <c r="K8" i="4" s="1"/>
  <c r="M12" i="10"/>
  <c r="M8" i="4" s="1"/>
  <c r="N12" i="10"/>
  <c r="N8" i="4" s="1"/>
  <c r="O12" i="10"/>
  <c r="O8" i="4" s="1"/>
  <c r="G12" i="11" l="1"/>
  <c r="L12" i="11"/>
  <c r="K12" i="11"/>
  <c r="J12" i="11"/>
  <c r="I12" i="11"/>
  <c r="D12" i="10"/>
  <c r="D8" i="4" s="1"/>
  <c r="G11" i="1"/>
  <c r="H11" i="1"/>
  <c r="D11" i="1"/>
  <c r="H18" i="1"/>
  <c r="I18" i="1"/>
  <c r="J18" i="1"/>
  <c r="K18" i="1"/>
  <c r="L18" i="1"/>
  <c r="M18" i="1"/>
  <c r="N18" i="1"/>
  <c r="O18" i="1"/>
  <c r="G18" i="1"/>
  <c r="E18" i="1"/>
  <c r="D18" i="1"/>
  <c r="H20" i="1" l="1"/>
  <c r="G20" i="1"/>
  <c r="D20" i="1"/>
  <c r="D7" i="4" s="1"/>
  <c r="D10" i="4" s="1"/>
  <c r="D14" i="4" s="1"/>
  <c r="D16" i="4" s="1"/>
  <c r="E15" i="4" s="1"/>
  <c r="O11" i="1"/>
  <c r="O20" i="1" s="1"/>
  <c r="O9" i="4" s="1"/>
  <c r="N11" i="1"/>
  <c r="N20" i="1" s="1"/>
  <c r="M11" i="1"/>
  <c r="M20" i="1" s="1"/>
  <c r="L11" i="1"/>
  <c r="L20" i="1" s="1"/>
  <c r="K11" i="1"/>
  <c r="K20" i="1" s="1"/>
  <c r="J11" i="1"/>
  <c r="J20" i="1" s="1"/>
  <c r="I11" i="1"/>
  <c r="I20" i="1" s="1"/>
  <c r="I9" i="4" s="1"/>
  <c r="F11" i="1"/>
  <c r="F20" i="1" s="1"/>
  <c r="E11" i="1"/>
  <c r="E20" i="1" s="1"/>
  <c r="E9" i="4" l="1"/>
  <c r="L7" i="4"/>
  <c r="K7" i="4"/>
  <c r="K9" i="4"/>
  <c r="M7" i="4"/>
  <c r="M9" i="4"/>
  <c r="N7" i="4"/>
  <c r="N9" i="4"/>
  <c r="F7" i="4"/>
  <c r="F9" i="4"/>
  <c r="G7" i="4"/>
  <c r="G9" i="4"/>
  <c r="J7" i="4"/>
  <c r="J9" i="4"/>
  <c r="H7" i="4"/>
  <c r="I7" i="4"/>
  <c r="I10" i="4" s="1"/>
  <c r="I14" i="4" s="1"/>
  <c r="E7" i="4"/>
  <c r="O6" i="4"/>
  <c r="N6" i="4"/>
  <c r="M6" i="4"/>
  <c r="L6" i="4"/>
  <c r="K6" i="4"/>
  <c r="J6" i="4"/>
  <c r="I6" i="4"/>
  <c r="H6" i="4"/>
  <c r="G6" i="4"/>
  <c r="F6" i="4"/>
  <c r="E6" i="4"/>
  <c r="D6" i="4"/>
  <c r="O6" i="2"/>
  <c r="N6" i="2"/>
  <c r="M6" i="2"/>
  <c r="L6" i="2"/>
  <c r="K6" i="2"/>
  <c r="J6" i="2"/>
  <c r="I6" i="2"/>
  <c r="H6" i="2"/>
  <c r="G6" i="2"/>
  <c r="F6" i="2"/>
  <c r="E6" i="2"/>
  <c r="D6" i="2"/>
  <c r="O6" i="11"/>
  <c r="N6" i="11"/>
  <c r="M6" i="11"/>
  <c r="L6" i="11"/>
  <c r="K6" i="11"/>
  <c r="J6" i="11"/>
  <c r="I6" i="11"/>
  <c r="H6" i="11"/>
  <c r="G6" i="11"/>
  <c r="F6" i="11"/>
  <c r="E6" i="11"/>
  <c r="D6" i="11"/>
  <c r="O6" i="10"/>
  <c r="N6" i="10"/>
  <c r="M6" i="10"/>
  <c r="L6" i="10"/>
  <c r="K6" i="10"/>
  <c r="J6" i="10"/>
  <c r="I6" i="10"/>
  <c r="H6" i="10"/>
  <c r="G6" i="10"/>
  <c r="F6" i="10"/>
  <c r="E6" i="10"/>
  <c r="D6" i="10"/>
  <c r="O6" i="12"/>
  <c r="N6" i="12"/>
  <c r="M6" i="12"/>
  <c r="L6" i="12"/>
  <c r="K6" i="12"/>
  <c r="J6" i="12"/>
  <c r="I6" i="12"/>
  <c r="H6" i="12"/>
  <c r="G6" i="12"/>
  <c r="F6" i="12"/>
  <c r="J10" i="4" l="1"/>
  <c r="J14" i="4" s="1"/>
  <c r="K10" i="4"/>
  <c r="K14" i="4" s="1"/>
  <c r="E10" i="4"/>
  <c r="E14" i="4" s="1"/>
  <c r="E16" i="4" s="1"/>
  <c r="F15" i="4" s="1"/>
  <c r="M10" i="4"/>
  <c r="M14" i="4" s="1"/>
  <c r="G10" i="4"/>
  <c r="G14" i="4" s="1"/>
  <c r="L9" i="4"/>
  <c r="L10" i="4" s="1"/>
  <c r="L14" i="4" s="1"/>
  <c r="H9" i="4"/>
  <c r="H10" i="4" s="1"/>
  <c r="H14" i="4" s="1"/>
  <c r="F10" i="4"/>
  <c r="F14" i="4" s="1"/>
  <c r="N10" i="4"/>
  <c r="N14" i="4" s="1"/>
  <c r="O7" i="4"/>
  <c r="O10" i="4" s="1"/>
  <c r="O14" i="4" s="1"/>
  <c r="F16" i="4" l="1"/>
  <c r="G15" i="4" s="1"/>
  <c r="G16" i="4" s="1"/>
  <c r="H15" i="4" l="1"/>
  <c r="H16" i="4" s="1"/>
  <c r="I15" i="4" l="1"/>
  <c r="I16" i="4" l="1"/>
  <c r="J15" i="4" s="1"/>
  <c r="J16" i="4" s="1"/>
  <c r="K15" i="4" s="1"/>
  <c r="K16" i="4" s="1"/>
  <c r="C34" i="17" l="1"/>
  <c r="D8" i="16" s="1"/>
  <c r="L15" i="4"/>
  <c r="L16" i="4" s="1"/>
  <c r="D33" i="17" l="1"/>
  <c r="E30" i="16"/>
  <c r="F30" i="16"/>
  <c r="M15" i="4"/>
  <c r="M16" i="4" s="1"/>
  <c r="D34" i="17" l="1"/>
  <c r="N15" i="4"/>
  <c r="N16" i="4" s="1"/>
  <c r="E33" i="17" l="1"/>
  <c r="E8" i="16"/>
  <c r="E19" i="16" s="1"/>
  <c r="E35" i="16" s="1"/>
  <c r="E37" i="16" s="1"/>
  <c r="E39" i="16" s="1"/>
  <c r="O15" i="4"/>
  <c r="O16" i="4" s="1"/>
  <c r="E34" i="17" l="1"/>
  <c r="F8" i="16" s="1"/>
  <c r="F19" i="16" l="1"/>
  <c r="F35" i="16" s="1"/>
  <c r="F37" i="16" l="1"/>
  <c r="F39" i="16" s="1"/>
  <c r="D19" i="16"/>
  <c r="D35" i="16" s="1"/>
  <c r="D37" i="16" l="1"/>
  <c r="D39" i="16" s="1"/>
</calcChain>
</file>

<file path=xl/sharedStrings.xml><?xml version="1.0" encoding="utf-8"?>
<sst xmlns="http://schemas.openxmlformats.org/spreadsheetml/2006/main" count="454" uniqueCount="253">
  <si>
    <t>Class number</t>
  </si>
  <si>
    <t>Company</t>
  </si>
  <si>
    <t>Cleancall</t>
  </si>
  <si>
    <t>Destination Country</t>
  </si>
  <si>
    <t>UK</t>
  </si>
  <si>
    <t>Names of team members</t>
  </si>
  <si>
    <t>Vilija Labutyte</t>
  </si>
  <si>
    <t>Ugnius Mickus</t>
  </si>
  <si>
    <t>Mykolas Maciukas</t>
  </si>
  <si>
    <t>Aryash Moudgil</t>
  </si>
  <si>
    <t>Put here your basic assumptions that you will use in the rest of the workbook: purchase prices, sales prices, expected sales volumes etc</t>
  </si>
  <si>
    <t>Sales prices</t>
  </si>
  <si>
    <t>Purchase prices</t>
  </si>
  <si>
    <t>S&amp;OP</t>
  </si>
  <si>
    <t>670eur CleanCall pro X (595)</t>
  </si>
  <si>
    <t>283,5$</t>
  </si>
  <si>
    <t>470eur: CleanCall plus (395)</t>
  </si>
  <si>
    <t>220,5$</t>
  </si>
  <si>
    <t>Sales price per unit</t>
  </si>
  <si>
    <t>CleanCall Pro X</t>
  </si>
  <si>
    <t xml:space="preserve">CleanCall Plus </t>
  </si>
  <si>
    <t>70% pay directly</t>
  </si>
  <si>
    <t>30% pay after 60 days</t>
  </si>
  <si>
    <t>Purchasing costs</t>
  </si>
  <si>
    <t>SG&amp;A</t>
  </si>
  <si>
    <t>Selling - direct costs</t>
  </si>
  <si>
    <t>Packing per unit sold</t>
  </si>
  <si>
    <t>Shipping per unit sold</t>
  </si>
  <si>
    <t>Selling indirect costs</t>
  </si>
  <si>
    <t>Staff costs (Per month)</t>
  </si>
  <si>
    <t>Managers</t>
  </si>
  <si>
    <t>Employee</t>
  </si>
  <si>
    <t>Total</t>
  </si>
  <si>
    <t>Description</t>
  </si>
  <si>
    <t>Period</t>
  </si>
  <si>
    <t>Q1, 2021</t>
  </si>
  <si>
    <t>Q2, 2021</t>
  </si>
  <si>
    <t>Q3, 2021</t>
  </si>
  <si>
    <t>Q4, 2021</t>
  </si>
  <si>
    <t>Q1, 2022</t>
  </si>
  <si>
    <t>Q2, 2022</t>
  </si>
  <si>
    <t>Q3, 2022</t>
  </si>
  <si>
    <t>Q4, 2022</t>
  </si>
  <si>
    <t>Q1, 2023</t>
  </si>
  <si>
    <t>Q2, 2023</t>
  </si>
  <si>
    <t>Q3, 2023</t>
  </si>
  <si>
    <t>Q4, 2023</t>
  </si>
  <si>
    <t>Sales price:</t>
  </si>
  <si>
    <t>Sales Plan</t>
  </si>
  <si>
    <t>#</t>
  </si>
  <si>
    <t>Value</t>
  </si>
  <si>
    <t>CleanCall plus</t>
  </si>
  <si>
    <t>TOTAL REVENUE:</t>
  </si>
  <si>
    <t>Production budget PRO X</t>
  </si>
  <si>
    <t>Sales in Units pro X</t>
  </si>
  <si>
    <t>Desired ending inventory</t>
  </si>
  <si>
    <t>Total units needed</t>
  </si>
  <si>
    <t>Beginning inventory</t>
  </si>
  <si>
    <t>Units to produce/purchase</t>
  </si>
  <si>
    <t>Production budget plus</t>
  </si>
  <si>
    <t>Sales in units PLUS</t>
  </si>
  <si>
    <t>Minimum ending inventory</t>
  </si>
  <si>
    <t>Production budget repair parts</t>
  </si>
  <si>
    <t>Number of repair parts kits</t>
  </si>
  <si>
    <t>Cost of Goods Manufactured</t>
  </si>
  <si>
    <t>Units Manufactured pro x</t>
  </si>
  <si>
    <t>Units manufactured plus</t>
  </si>
  <si>
    <t>Total units manufactured</t>
  </si>
  <si>
    <t>Cost per unit pro X</t>
  </si>
  <si>
    <t>Cost per unit</t>
  </si>
  <si>
    <t>Total cash needed</t>
  </si>
  <si>
    <t>Cost of Goods Sold (CoGS)</t>
  </si>
  <si>
    <t>Number of units Sold</t>
  </si>
  <si>
    <t>Number of units sold pro x</t>
  </si>
  <si>
    <t>Number of units sold plus</t>
  </si>
  <si>
    <t>COGS pro x</t>
  </si>
  <si>
    <t>COGS plus</t>
  </si>
  <si>
    <t xml:space="preserve">Total </t>
  </si>
  <si>
    <t>SG&amp;A expenses budget (selling, general &amp; administrative expenses)</t>
  </si>
  <si>
    <t>Marketing and advertising</t>
  </si>
  <si>
    <t>Salaries/Support</t>
  </si>
  <si>
    <t>Capital expenditure</t>
  </si>
  <si>
    <t>Repair parts</t>
  </si>
  <si>
    <t>Logistics</t>
  </si>
  <si>
    <t>Travel expenses</t>
  </si>
  <si>
    <t>Commision 15%</t>
  </si>
  <si>
    <t>Insurance</t>
  </si>
  <si>
    <t>Utilities</t>
  </si>
  <si>
    <t>Rent</t>
  </si>
  <si>
    <t>Total:</t>
  </si>
  <si>
    <t>CASH BUDGET</t>
  </si>
  <si>
    <t>Please use Direct Method</t>
  </si>
  <si>
    <t>Cash inflow from sales</t>
  </si>
  <si>
    <t>1 - Cashflow from Operating Activities:</t>
  </si>
  <si>
    <t>Cash outflow from Purchasing Costs</t>
  </si>
  <si>
    <t>Cash outflow from Selling, General &amp; Admin (Includes VAT and comission tax)</t>
  </si>
  <si>
    <t>Total Cashflow from Operating Activities</t>
  </si>
  <si>
    <t>Total payments</t>
  </si>
  <si>
    <t xml:space="preserve">Change in cash </t>
  </si>
  <si>
    <t>Beginning balance of cash</t>
  </si>
  <si>
    <t>End balance of cash</t>
  </si>
  <si>
    <t>*Without depreciation</t>
  </si>
  <si>
    <t>Income statement (P&amp;L)</t>
  </si>
  <si>
    <t>Year 1, 2021</t>
  </si>
  <si>
    <t>Year 2, 2022</t>
  </si>
  <si>
    <t>Year 3, 2023</t>
  </si>
  <si>
    <t>Sales</t>
  </si>
  <si>
    <t>Income from repair services</t>
  </si>
  <si>
    <t>COGS</t>
  </si>
  <si>
    <t>Gross Profit</t>
  </si>
  <si>
    <t>Corporate income tax</t>
  </si>
  <si>
    <t>Net Income</t>
  </si>
  <si>
    <t>*without depreciation</t>
  </si>
  <si>
    <t>Balance Sheet</t>
  </si>
  <si>
    <t>in EUR</t>
  </si>
  <si>
    <t>Opening BS</t>
  </si>
  <si>
    <t>31/12/2021</t>
  </si>
  <si>
    <t>31/12/2022</t>
  </si>
  <si>
    <t>31/12/2023</t>
  </si>
  <si>
    <t>Current assests:</t>
  </si>
  <si>
    <t>Cash &amp; Cash equivalents</t>
  </si>
  <si>
    <t>Accounts Receivable</t>
  </si>
  <si>
    <t>Inventory</t>
  </si>
  <si>
    <t>Long term assets:</t>
  </si>
  <si>
    <t>Depreciation</t>
  </si>
  <si>
    <t>Actual Value</t>
  </si>
  <si>
    <t>Total Assets</t>
  </si>
  <si>
    <t>Liabilities</t>
  </si>
  <si>
    <t>short-term liabilities:</t>
  </si>
  <si>
    <t>Accounts Payable</t>
  </si>
  <si>
    <t>Trade accounts payable</t>
  </si>
  <si>
    <t>VAT payable</t>
  </si>
  <si>
    <t>Corporate Income taxes payable</t>
  </si>
  <si>
    <t>Bank loan</t>
  </si>
  <si>
    <t>Total Liabilities</t>
  </si>
  <si>
    <t>Owners Equity</t>
  </si>
  <si>
    <t>Common Stock</t>
  </si>
  <si>
    <t>Preferred Stock</t>
  </si>
  <si>
    <t>Retained Earnings</t>
  </si>
  <si>
    <t>Declared dividend</t>
  </si>
  <si>
    <t>Total Owner's Equity</t>
  </si>
  <si>
    <t>Total L + OE</t>
  </si>
  <si>
    <t>Cash Flow Statement</t>
  </si>
  <si>
    <t>please use Indirect Method</t>
  </si>
  <si>
    <t>FY2021</t>
  </si>
  <si>
    <t>FY2022</t>
  </si>
  <si>
    <t>FY2023</t>
  </si>
  <si>
    <t>Operating activities</t>
  </si>
  <si>
    <t>Net income</t>
  </si>
  <si>
    <t>Increase in Acc. Receivable</t>
  </si>
  <si>
    <t>Increase in inventory</t>
  </si>
  <si>
    <t>Increase in Acc. Payables</t>
  </si>
  <si>
    <t>Increase in VAT payables</t>
  </si>
  <si>
    <t>Increase in Corporate Income Taxes</t>
  </si>
  <si>
    <t>Total cash flow from operations</t>
  </si>
  <si>
    <t>Investment activities</t>
  </si>
  <si>
    <t>Total cash flow from investments</t>
  </si>
  <si>
    <t>Financing activities</t>
  </si>
  <si>
    <t>Payment of borrowings</t>
  </si>
  <si>
    <t>-</t>
  </si>
  <si>
    <t>Total cash flow from finance</t>
  </si>
  <si>
    <t>TOTAL CASH FLOW</t>
  </si>
  <si>
    <t>Begin balance cash</t>
  </si>
  <si>
    <t>End balance cash</t>
  </si>
  <si>
    <t>Sales &amp; Operations Plan</t>
  </si>
  <si>
    <t>70% of sales</t>
  </si>
  <si>
    <t>Cost of Goods:</t>
  </si>
  <si>
    <t>Inventory Plan</t>
  </si>
  <si>
    <t>Purchasing Plan</t>
  </si>
  <si>
    <t># (Units) Min 4500</t>
  </si>
  <si>
    <t>CleanCall Plus</t>
  </si>
  <si>
    <t>30% of sales</t>
  </si>
  <si>
    <t># (Units) Min. 4500</t>
  </si>
  <si>
    <t>Purchasing plan together in pallets</t>
  </si>
  <si>
    <t>Gantt chart</t>
  </si>
  <si>
    <t>Week 1</t>
  </si>
  <si>
    <t>Week 2</t>
  </si>
  <si>
    <t>Vacation</t>
  </si>
  <si>
    <t>Week 4</t>
  </si>
  <si>
    <t>Week 5</t>
  </si>
  <si>
    <t>Week 6</t>
  </si>
  <si>
    <t>Week 7</t>
  </si>
  <si>
    <t>Week 8</t>
  </si>
  <si>
    <t>8-14 Feb</t>
  </si>
  <si>
    <t>15-21 Feb</t>
  </si>
  <si>
    <t>Feb 22-28</t>
  </si>
  <si>
    <t>1-7 March</t>
  </si>
  <si>
    <t>8-14 March</t>
  </si>
  <si>
    <t>15-21 March</t>
  </si>
  <si>
    <t>22-28 March</t>
  </si>
  <si>
    <t>29-31 March</t>
  </si>
  <si>
    <t>work sess</t>
  </si>
  <si>
    <t>Marketing:</t>
  </si>
  <si>
    <t>BMC</t>
  </si>
  <si>
    <t>Digital Health Check</t>
  </si>
  <si>
    <t>Customer Persona's</t>
  </si>
  <si>
    <t>Customer Journey's</t>
  </si>
  <si>
    <t>Marketing Campaign</t>
  </si>
  <si>
    <t>Operations:</t>
  </si>
  <si>
    <t>S&amp;OP Plan</t>
  </si>
  <si>
    <t>Procurement Strategy Matrix</t>
  </si>
  <si>
    <t>Demand Chain Network Design</t>
  </si>
  <si>
    <t>S/C Risk Analysis &amp; Contingency Plan</t>
  </si>
  <si>
    <t>Finance:</t>
  </si>
  <si>
    <t>A set of budgets</t>
  </si>
  <si>
    <t>Pro-forma statements for the coming 3 years</t>
  </si>
  <si>
    <t>Economics:</t>
  </si>
  <si>
    <t>Economic, Social and Technological risk analysis</t>
  </si>
  <si>
    <t>Contingency Plan</t>
  </si>
  <si>
    <t>IBC:</t>
  </si>
  <si>
    <t>Blog</t>
  </si>
  <si>
    <t>Press Release</t>
  </si>
  <si>
    <t>Social Media Complaint Reply</t>
  </si>
  <si>
    <t>Opening balance</t>
  </si>
  <si>
    <t>Months</t>
  </si>
  <si>
    <t>January</t>
  </si>
  <si>
    <t>February</t>
  </si>
  <si>
    <t>March</t>
  </si>
  <si>
    <t>April</t>
  </si>
  <si>
    <t>May</t>
  </si>
  <si>
    <t>June</t>
  </si>
  <si>
    <t>July</t>
  </si>
  <si>
    <t>August</t>
  </si>
  <si>
    <t>September</t>
  </si>
  <si>
    <t>October</t>
  </si>
  <si>
    <t>November</t>
  </si>
  <si>
    <t>December</t>
  </si>
  <si>
    <t>Sales  (quantity)</t>
  </si>
  <si>
    <t>sales (euros)</t>
  </si>
  <si>
    <t>Cash collections</t>
  </si>
  <si>
    <t>Total sales</t>
  </si>
  <si>
    <t>December sales</t>
  </si>
  <si>
    <t>November sales</t>
  </si>
  <si>
    <t>January sales</t>
  </si>
  <si>
    <t>February sales</t>
  </si>
  <si>
    <t>March sales</t>
  </si>
  <si>
    <t>April sales</t>
  </si>
  <si>
    <t>May sales</t>
  </si>
  <si>
    <t>June sales</t>
  </si>
  <si>
    <t>July sales</t>
  </si>
  <si>
    <t>August sales</t>
  </si>
  <si>
    <t>September sales</t>
  </si>
  <si>
    <t>October sales</t>
  </si>
  <si>
    <t>Year 1 sales budget including delayed payments</t>
  </si>
  <si>
    <t>Accounts receivable</t>
  </si>
  <si>
    <t>Total cash uncollected</t>
  </si>
  <si>
    <t>Year 2 sales budget including delayed payments</t>
  </si>
  <si>
    <t>Year 3 sales budget including delayed payments</t>
  </si>
  <si>
    <t>Equipment</t>
  </si>
  <si>
    <t>Sales Budget</t>
  </si>
  <si>
    <t>Accounts receivalble</t>
  </si>
  <si>
    <t>Group 6</t>
  </si>
  <si>
    <t>Operating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</si>
</sst>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quot;€&quot;\ #,##0;[Red]&quot;€&quot;\ \-#,##0"/>
    <numFmt numFmtId="165" formatCode="_ &quot;€&quot;\ * #,##0.00_ ;_ &quot;€&quot;\ * \-#,##0.00_ ;_ &quot;€&quot;\ * &quot;-&quot;??_ ;_ @_ "/>
    <numFmt numFmtId="166" formatCode="_ * #,##0.00_ ;_ * \-#,##0.00_ ;_ * &quot;-&quot;??_ ;_ @_ "/>
    <numFmt numFmtId="167" formatCode="_ [$€-2]\ * #,##0.00_ ;_ [$€-2]\ * \-#,##0.00_ ;_ [$€-2]\ * &quot;-&quot;??_ ;_ @_ "/>
    <numFmt numFmtId="168" formatCode="0.0"/>
    <numFmt numFmtId="169" formatCode="_ * #,##0_ ;_ * \-#,##0_ ;_ * &quot;-&quot;??_ ;_ @_ "/>
    <numFmt numFmtId="170" formatCode="_ &quot;€&quot;\ * #,##0_ ;_ &quot;€&quot;\ * \-#,##0_ ;_ &quot;€&quot;\ * &quot;-&quot;??_ ;_ @_ "/>
    <numFmt numFmtId="171" formatCode="_-[$$-409]* #,##0.00_ ;_-[$$-409]* \-#,##0.00\ ;_-[$$-409]* &quot;-&quot;??_ ;_-@_ "/>
    <numFmt numFmtId="172" formatCode="_-[$£-809]* #,##0.00_-;\-[$£-809]* #,##0.00_-;_-[$£-809]* &quot;-&quot;??_-;_-@_-"/>
    <numFmt numFmtId="173" formatCode="_ [$€-2]\ * #,##0_ ;_ [$€-2]\ * \-#,##0_ ;_ [$€-2]\ * &quot;-&quot;??_ ;_ @_ "/>
    <numFmt numFmtId="174" formatCode="_([$€-2]\ * #,##0.00_);_([$€-2]\ * \(#,##0.00\);_([$€-2]\ * &quot;-&quot;??_);_(@_)"/>
    <numFmt numFmtId="175" formatCode="_-[$$-409]* #,##0_ ;_-[$$-409]* \-#,##0\ ;_-[$$-409]* &quot;-&quot;??_ ;_-@_ "/>
    <numFmt numFmtId="176" formatCode="[$€-2]\ #,##0;[Red]\-[$€-2]\ #,##0"/>
    <numFmt numFmtId="177" formatCode="[$€-2]\ #,##0.0;[Red]\-[$€-2]\ #,##0.0"/>
    <numFmt numFmtId="178" formatCode="#,##0.00\ &quot;€&quot;"/>
    <numFmt numFmtId="179" formatCode="_ &quot;€&quot;\ * #,##0.000_ ;_ &quot;€&quot;\ * \-#,##0.000_ ;_ &quot;€&quot;\ * &quot;-&quot;??_ ;_ @_ "/>
  </numFmts>
  <fonts count="28" x14ac:knownFonts="1">
    <font>
      <sz val="11"/>
      <color theme="1"/>
      <name val="Calibri"/>
      <family val="2"/>
      <scheme val="minor"/>
    </font>
    <font>
      <b/>
      <sz val="14"/>
      <color theme="1"/>
      <name val="Calibri"/>
      <family val="2"/>
      <scheme val="minor"/>
    </font>
    <font>
      <b/>
      <sz val="11"/>
      <color theme="1"/>
      <name val="Calibri"/>
      <family val="2"/>
      <scheme val="minor"/>
    </font>
    <font>
      <b/>
      <sz val="14"/>
      <color rgb="FFFF0000"/>
      <name val="Calibri"/>
      <family val="2"/>
      <scheme val="minor"/>
    </font>
    <font>
      <b/>
      <sz val="14"/>
      <color rgb="FF0070C0"/>
      <name val="Calibri"/>
      <family val="2"/>
      <scheme val="minor"/>
    </font>
    <font>
      <b/>
      <sz val="28"/>
      <color rgb="FF0070C0"/>
      <name val="Calibri"/>
      <family val="2"/>
      <scheme val="minor"/>
    </font>
    <font>
      <i/>
      <sz val="11"/>
      <color theme="1"/>
      <name val="Calibri"/>
      <family val="2"/>
      <scheme val="minor"/>
    </font>
    <font>
      <sz val="14"/>
      <color theme="1"/>
      <name val="Calibri"/>
      <family val="2"/>
      <scheme val="minor"/>
    </font>
    <font>
      <b/>
      <i/>
      <sz val="11"/>
      <color theme="1"/>
      <name val="Calibri"/>
      <family val="2"/>
      <scheme val="minor"/>
    </font>
    <font>
      <sz val="11"/>
      <color theme="1"/>
      <name val="Calibri"/>
      <family val="2"/>
      <scheme val="minor"/>
    </font>
    <font>
      <sz val="11"/>
      <color theme="0"/>
      <name val="Calibri"/>
      <family val="2"/>
      <scheme val="minor"/>
    </font>
    <font>
      <sz val="11"/>
      <color rgb="FF000000"/>
      <name val="Calibri"/>
      <family val="2"/>
      <scheme val="minor"/>
    </font>
    <font>
      <b/>
      <sz val="28"/>
      <color theme="4"/>
      <name val="Calibri"/>
      <family val="2"/>
      <scheme val="minor"/>
    </font>
    <font>
      <b/>
      <i/>
      <sz val="14"/>
      <color theme="1"/>
      <name val="Calibri"/>
      <family val="2"/>
      <scheme val="minor"/>
    </font>
    <font>
      <i/>
      <sz val="14"/>
      <color theme="1"/>
      <name val="Calibri"/>
      <family val="2"/>
      <scheme val="minor"/>
    </font>
    <font>
      <sz val="12"/>
      <color theme="1"/>
      <name val="Calibri"/>
      <family val="2"/>
      <scheme val="minor"/>
    </font>
    <font>
      <sz val="8"/>
      <name val="Calibri"/>
      <family val="2"/>
      <scheme val="minor"/>
    </font>
    <font>
      <b/>
      <sz val="24"/>
      <color theme="8" tint="-0.249977111117893"/>
      <name val="Calibri"/>
      <family val="2"/>
      <scheme val="minor"/>
    </font>
    <font>
      <sz val="11"/>
      <name val="Calibri"/>
      <family val="2"/>
      <scheme val="minor"/>
    </font>
    <font>
      <sz val="24"/>
      <name val="Calibri"/>
      <family val="2"/>
      <scheme val="minor"/>
    </font>
    <font>
      <sz val="12"/>
      <color rgb="FF000000"/>
      <name val="Calibri"/>
      <family val="2"/>
      <scheme val="minor"/>
    </font>
    <font>
      <b/>
      <u/>
      <sz val="12"/>
      <color rgb="FF000000"/>
      <name val="Calibri"/>
      <family val="2"/>
      <scheme val="minor"/>
    </font>
    <font>
      <b/>
      <sz val="12"/>
      <color rgb="FF000000"/>
      <name val="Calibri"/>
      <family val="2"/>
      <scheme val="minor"/>
    </font>
    <font>
      <sz val="11"/>
      <color rgb="FFFF0000"/>
      <name val="Calibri"/>
      <family val="2"/>
      <scheme val="minor"/>
    </font>
    <font>
      <b/>
      <u/>
      <sz val="11"/>
      <color rgb="FF000000"/>
      <name val="Calibri"/>
      <family val="2"/>
      <scheme val="minor"/>
    </font>
    <font>
      <b/>
      <sz val="24"/>
      <color theme="4" tint="-0.249977111117893"/>
      <name val="Calibri"/>
      <family val="2"/>
      <scheme val="minor"/>
    </font>
    <font>
      <b/>
      <u/>
      <sz val="11"/>
      <color theme="1"/>
      <name val="Calibri"/>
      <family val="2"/>
      <scheme val="minor"/>
    </font>
    <font>
      <b/>
      <sz val="11"/>
      <name val="Calibri"/>
      <family val="2"/>
      <scheme val="minor"/>
    </font>
  </fonts>
  <fills count="13">
    <fill>
      <patternFill patternType="none"/>
    </fill>
    <fill>
      <patternFill patternType="gray125"/>
    </fill>
    <fill>
      <patternFill patternType="solid">
        <fgColor theme="4"/>
      </patternFill>
    </fill>
    <fill>
      <patternFill patternType="solid">
        <fgColor theme="4" tint="0.59999389629810485"/>
        <bgColor indexed="65"/>
      </patternFill>
    </fill>
    <fill>
      <patternFill patternType="solid">
        <fgColor theme="9"/>
        <bgColor indexed="64"/>
      </patternFill>
    </fill>
    <fill>
      <patternFill patternType="solid">
        <fgColor theme="9" tint="0.59999389629810485"/>
        <bgColor indexed="64"/>
      </patternFill>
    </fill>
    <fill>
      <patternFill patternType="solid">
        <fgColor rgb="FF9BC2E6"/>
        <bgColor rgb="FF000000"/>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4"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bottom/>
      <diagonal/>
    </border>
  </borders>
  <cellStyleXfs count="6">
    <xf numFmtId="0" fontId="0" fillId="0" borderId="0"/>
    <xf numFmtId="166" fontId="9" fillId="0" borderId="0" applyFont="0" applyFill="0" applyBorder="0" applyAlignment="0" applyProtection="0"/>
    <xf numFmtId="165" fontId="9" fillId="0" borderId="0" applyFont="0" applyFill="0" applyBorder="0" applyAlignment="0" applyProtection="0"/>
    <xf numFmtId="0" fontId="10" fillId="2" borderId="0" applyNumberFormat="0" applyBorder="0" applyAlignment="0" applyProtection="0"/>
    <xf numFmtId="0" fontId="9" fillId="3" borderId="0" applyNumberFormat="0" applyBorder="0" applyAlignment="0" applyProtection="0"/>
    <xf numFmtId="0" fontId="9" fillId="0" borderId="0"/>
  </cellStyleXfs>
  <cellXfs count="255">
    <xf numFmtId="0" fontId="0" fillId="0" borderId="0" xfId="0"/>
    <xf numFmtId="0" fontId="2" fillId="0" borderId="0" xfId="0" applyFont="1"/>
    <xf numFmtId="0" fontId="2" fillId="0" borderId="1" xfId="0" applyFont="1" applyBorder="1"/>
    <xf numFmtId="0" fontId="0" fillId="0" borderId="0" xfId="0" applyAlignment="1">
      <alignment horizontal="center"/>
    </xf>
    <xf numFmtId="0" fontId="2" fillId="0" borderId="0" xfId="0" applyFont="1" applyAlignment="1">
      <alignment horizontal="center"/>
    </xf>
    <xf numFmtId="0" fontId="1" fillId="0" borderId="2" xfId="0" applyFont="1" applyBorder="1"/>
    <xf numFmtId="0" fontId="2" fillId="0" borderId="0" xfId="0" applyFont="1" applyBorder="1"/>
    <xf numFmtId="0" fontId="1" fillId="0" borderId="0" xfId="0" applyFont="1" applyBorder="1" applyAlignment="1">
      <alignment horizontal="center"/>
    </xf>
    <xf numFmtId="0" fontId="1" fillId="0" borderId="0" xfId="0" applyFont="1" applyBorder="1" applyAlignment="1">
      <alignment horizontal="left"/>
    </xf>
    <xf numFmtId="0" fontId="2" fillId="0" borderId="0" xfId="0" applyFont="1" applyBorder="1" applyAlignment="1">
      <alignment horizontal="center"/>
    </xf>
    <xf numFmtId="0" fontId="2" fillId="0" borderId="3" xfId="0" applyFont="1" applyBorder="1" applyAlignment="1">
      <alignment horizontal="center"/>
    </xf>
    <xf numFmtId="0" fontId="2" fillId="0" borderId="9" xfId="0" applyFont="1" applyBorder="1"/>
    <xf numFmtId="0" fontId="1" fillId="0" borderId="9" xfId="0" applyFont="1" applyBorder="1" applyAlignment="1">
      <alignment horizontal="center"/>
    </xf>
    <xf numFmtId="0" fontId="2" fillId="0" borderId="9" xfId="0" applyFont="1" applyBorder="1" applyAlignment="1">
      <alignment horizontal="center"/>
    </xf>
    <xf numFmtId="0" fontId="1" fillId="0" borderId="10" xfId="0" applyFont="1" applyBorder="1"/>
    <xf numFmtId="0" fontId="2" fillId="0" borderId="11" xfId="0" applyFont="1" applyBorder="1"/>
    <xf numFmtId="0" fontId="1" fillId="0" borderId="11" xfId="0" applyFont="1" applyBorder="1" applyAlignment="1">
      <alignment horizontal="center"/>
    </xf>
    <xf numFmtId="0" fontId="1" fillId="0" borderId="11" xfId="0" applyFont="1" applyBorder="1" applyAlignment="1">
      <alignment horizontal="left"/>
    </xf>
    <xf numFmtId="0" fontId="2" fillId="0" borderId="11" xfId="0" applyFont="1" applyBorder="1" applyAlignment="1">
      <alignment horizontal="center"/>
    </xf>
    <xf numFmtId="0" fontId="1" fillId="0" borderId="12" xfId="0" applyFont="1" applyBorder="1"/>
    <xf numFmtId="0" fontId="2" fillId="0" borderId="13" xfId="0" applyFont="1" applyBorder="1"/>
    <xf numFmtId="0" fontId="0" fillId="0" borderId="13" xfId="0" applyBorder="1" applyAlignment="1">
      <alignment horizontal="center"/>
    </xf>
    <xf numFmtId="0" fontId="0" fillId="0" borderId="14" xfId="0" applyBorder="1" applyAlignment="1">
      <alignment horizontal="center"/>
    </xf>
    <xf numFmtId="0" fontId="3" fillId="0" borderId="4" xfId="0" applyFont="1" applyBorder="1"/>
    <xf numFmtId="0" fontId="3" fillId="0" borderId="1" xfId="0" applyFont="1" applyBorder="1" applyAlignment="1">
      <alignment horizontal="left"/>
    </xf>
    <xf numFmtId="0" fontId="2" fillId="0" borderId="15" xfId="0" applyFont="1" applyBorder="1" applyAlignment="1">
      <alignment horizontal="center"/>
    </xf>
    <xf numFmtId="0" fontId="5" fillId="0" borderId="0" xfId="0" applyFont="1"/>
    <xf numFmtId="0" fontId="0" fillId="0" borderId="7" xfId="0" applyBorder="1"/>
    <xf numFmtId="0" fontId="8" fillId="0" borderId="0" xfId="0" applyFont="1"/>
    <xf numFmtId="0" fontId="8" fillId="0" borderId="6" xfId="0" applyFont="1" applyBorder="1" applyAlignment="1">
      <alignment horizontal="right"/>
    </xf>
    <xf numFmtId="165" fontId="0" fillId="0" borderId="0" xfId="2" applyFont="1"/>
    <xf numFmtId="165" fontId="0" fillId="0" borderId="0" xfId="0" applyNumberFormat="1"/>
    <xf numFmtId="169" fontId="0" fillId="0" borderId="0" xfId="1" applyNumberFormat="1" applyFont="1"/>
    <xf numFmtId="169" fontId="2" fillId="0" borderId="0" xfId="1" applyNumberFormat="1" applyFont="1"/>
    <xf numFmtId="0" fontId="0" fillId="0" borderId="0" xfId="0"/>
    <xf numFmtId="164" fontId="0" fillId="0" borderId="0" xfId="0" applyNumberFormat="1"/>
    <xf numFmtId="3" fontId="0" fillId="0" borderId="0" xfId="0" applyNumberFormat="1"/>
    <xf numFmtId="170" fontId="0" fillId="0" borderId="0" xfId="2" applyNumberFormat="1" applyFont="1"/>
    <xf numFmtId="170" fontId="2" fillId="0" borderId="7" xfId="2" applyNumberFormat="1" applyFont="1" applyBorder="1"/>
    <xf numFmtId="0" fontId="4" fillId="0" borderId="6" xfId="0" applyFont="1" applyBorder="1"/>
    <xf numFmtId="0" fontId="4" fillId="0" borderId="7" xfId="0" applyFont="1" applyBorder="1"/>
    <xf numFmtId="170" fontId="4" fillId="0" borderId="7" xfId="2" applyNumberFormat="1" applyFont="1" applyBorder="1"/>
    <xf numFmtId="170" fontId="0" fillId="0" borderId="0" xfId="0" applyNumberFormat="1"/>
    <xf numFmtId="0" fontId="0" fillId="0" borderId="0" xfId="0"/>
    <xf numFmtId="0" fontId="0" fillId="0" borderId="0" xfId="0" applyFill="1" applyAlignment="1">
      <alignment horizontal="center"/>
    </xf>
    <xf numFmtId="0" fontId="0" fillId="0" borderId="0" xfId="0" applyFill="1"/>
    <xf numFmtId="0" fontId="2" fillId="0" borderId="1" xfId="0" applyFont="1" applyFill="1" applyBorder="1"/>
    <xf numFmtId="0" fontId="2" fillId="0" borderId="1" xfId="0" applyFont="1" applyFill="1" applyBorder="1" applyAlignment="1">
      <alignment horizontal="center"/>
    </xf>
    <xf numFmtId="0" fontId="2" fillId="0" borderId="0" xfId="0" applyFont="1" applyFill="1" applyAlignment="1">
      <alignment horizontal="center"/>
    </xf>
    <xf numFmtId="0" fontId="2" fillId="0" borderId="0" xfId="0" applyFont="1" applyFill="1"/>
    <xf numFmtId="0" fontId="1" fillId="0" borderId="2" xfId="0" applyFont="1" applyFill="1" applyBorder="1"/>
    <xf numFmtId="0" fontId="2" fillId="0" borderId="0" xfId="0" applyFont="1" applyFill="1" applyBorder="1"/>
    <xf numFmtId="0" fontId="1" fillId="0" borderId="0" xfId="0" applyFont="1" applyFill="1" applyBorder="1" applyAlignment="1">
      <alignment horizontal="center"/>
    </xf>
    <xf numFmtId="0" fontId="1" fillId="0" borderId="0" xfId="0" applyFont="1" applyFill="1" applyBorder="1" applyAlignment="1">
      <alignment horizontal="left"/>
    </xf>
    <xf numFmtId="0" fontId="2" fillId="0" borderId="0" xfId="0" applyFont="1" applyFill="1" applyBorder="1" applyAlignment="1">
      <alignment horizontal="center"/>
    </xf>
    <xf numFmtId="0" fontId="0" fillId="0" borderId="0" xfId="0" applyFill="1" applyBorder="1" applyAlignment="1">
      <alignment horizontal="center"/>
    </xf>
    <xf numFmtId="0" fontId="0" fillId="0" borderId="0" xfId="0" quotePrefix="1" applyFill="1" applyBorder="1" applyAlignment="1">
      <alignment horizontal="left"/>
    </xf>
    <xf numFmtId="167" fontId="0" fillId="0" borderId="0" xfId="0" applyNumberFormat="1" applyFill="1" applyBorder="1" applyAlignment="1">
      <alignment horizontal="center"/>
    </xf>
    <xf numFmtId="0" fontId="0" fillId="0" borderId="1" xfId="0" applyFill="1" applyBorder="1" applyAlignment="1">
      <alignment horizontal="center"/>
    </xf>
    <xf numFmtId="168" fontId="2" fillId="0" borderId="1" xfId="0" applyNumberFormat="1" applyFont="1" applyFill="1" applyBorder="1" applyAlignment="1">
      <alignment horizontal="center"/>
    </xf>
    <xf numFmtId="167" fontId="2" fillId="0" borderId="1" xfId="0" applyNumberFormat="1" applyFont="1" applyFill="1" applyBorder="1"/>
    <xf numFmtId="167" fontId="0" fillId="0" borderId="1" xfId="0" applyNumberFormat="1" applyFill="1" applyBorder="1" applyAlignment="1">
      <alignment horizontal="center"/>
    </xf>
    <xf numFmtId="168" fontId="0" fillId="0" borderId="1" xfId="0" applyNumberFormat="1" applyFill="1" applyBorder="1" applyAlignment="1">
      <alignment horizontal="center"/>
    </xf>
    <xf numFmtId="167" fontId="0" fillId="0" borderId="0" xfId="0" applyNumberFormat="1" applyFill="1"/>
    <xf numFmtId="167" fontId="2" fillId="0" borderId="0" xfId="0" applyNumberFormat="1" applyFont="1" applyFill="1" applyBorder="1"/>
    <xf numFmtId="168" fontId="0" fillId="0" borderId="0" xfId="0" applyNumberFormat="1" applyFill="1" applyBorder="1" applyAlignment="1">
      <alignment horizontal="center"/>
    </xf>
    <xf numFmtId="168" fontId="2" fillId="0" borderId="0" xfId="0" applyNumberFormat="1" applyFont="1" applyFill="1" applyBorder="1" applyAlignment="1">
      <alignment horizontal="center"/>
    </xf>
    <xf numFmtId="0" fontId="1" fillId="0" borderId="0" xfId="0" applyFont="1" applyFill="1"/>
    <xf numFmtId="0" fontId="8" fillId="0" borderId="0" xfId="0" applyFont="1" applyFill="1"/>
    <xf numFmtId="0" fontId="5" fillId="0" borderId="0" xfId="0" applyFont="1" applyFill="1"/>
    <xf numFmtId="0" fontId="0" fillId="0" borderId="0" xfId="0" applyNumberFormat="1" applyFill="1"/>
    <xf numFmtId="0" fontId="11" fillId="0" borderId="0" xfId="0" applyNumberFormat="1" applyFont="1" applyFill="1"/>
    <xf numFmtId="0" fontId="0" fillId="0" borderId="0" xfId="0" applyNumberFormat="1" applyBorder="1"/>
    <xf numFmtId="0" fontId="0" fillId="0" borderId="0" xfId="2" applyNumberFormat="1" applyFont="1" applyBorder="1"/>
    <xf numFmtId="0" fontId="1" fillId="0" borderId="0" xfId="0" applyFont="1" applyFill="1" applyBorder="1"/>
    <xf numFmtId="0" fontId="12" fillId="0" borderId="0" xfId="0" applyFont="1" applyFill="1" applyBorder="1"/>
    <xf numFmtId="167" fontId="1" fillId="0" borderId="0" xfId="0" applyNumberFormat="1" applyFont="1" applyFill="1" applyBorder="1"/>
    <xf numFmtId="49" fontId="0" fillId="0" borderId="0" xfId="0" applyNumberFormat="1" applyFont="1" applyFill="1"/>
    <xf numFmtId="0" fontId="1" fillId="0" borderId="0" xfId="0" applyFont="1" applyAlignment="1">
      <alignment horizontal="center"/>
    </xf>
    <xf numFmtId="0" fontId="3" fillId="0" borderId="2" xfId="0" applyFont="1" applyBorder="1"/>
    <xf numFmtId="0" fontId="2" fillId="0" borderId="16" xfId="0" applyFont="1" applyFill="1" applyBorder="1"/>
    <xf numFmtId="167" fontId="0" fillId="0" borderId="17" xfId="0" applyNumberFormat="1" applyFill="1" applyBorder="1" applyAlignment="1">
      <alignment horizontal="center"/>
    </xf>
    <xf numFmtId="0" fontId="2" fillId="0" borderId="18" xfId="0" applyFont="1" applyFill="1" applyBorder="1"/>
    <xf numFmtId="167" fontId="0" fillId="0" borderId="19" xfId="0" applyNumberFormat="1" applyFill="1" applyBorder="1" applyAlignment="1">
      <alignment horizontal="center"/>
    </xf>
    <xf numFmtId="165" fontId="0" fillId="0" borderId="0" xfId="2" applyFont="1" applyFill="1"/>
    <xf numFmtId="0" fontId="0" fillId="0" borderId="0" xfId="0" applyFont="1"/>
    <xf numFmtId="169" fontId="0" fillId="0" borderId="0" xfId="0" applyNumberFormat="1" applyFill="1"/>
    <xf numFmtId="171" fontId="0" fillId="0" borderId="0" xfId="0" applyNumberFormat="1"/>
    <xf numFmtId="0" fontId="0" fillId="0" borderId="9" xfId="0" applyBorder="1"/>
    <xf numFmtId="171" fontId="0" fillId="0" borderId="9" xfId="0" applyNumberFormat="1" applyBorder="1"/>
    <xf numFmtId="172" fontId="0" fillId="0" borderId="0" xfId="2" applyNumberFormat="1" applyFont="1"/>
    <xf numFmtId="171" fontId="0" fillId="0" borderId="0" xfId="2" applyNumberFormat="1" applyFont="1"/>
    <xf numFmtId="0" fontId="15" fillId="0" borderId="0" xfId="0" applyFont="1"/>
    <xf numFmtId="173" fontId="15" fillId="0" borderId="0" xfId="0" applyNumberFormat="1" applyFont="1" applyAlignment="1">
      <alignment horizontal="center"/>
    </xf>
    <xf numFmtId="173" fontId="15" fillId="0" borderId="0" xfId="0" applyNumberFormat="1" applyFont="1"/>
    <xf numFmtId="0" fontId="0" fillId="0" borderId="0" xfId="2" applyNumberFormat="1" applyFont="1"/>
    <xf numFmtId="0" fontId="0" fillId="0" borderId="0" xfId="0"/>
    <xf numFmtId="0" fontId="2" fillId="0" borderId="0" xfId="0" applyFont="1"/>
    <xf numFmtId="0" fontId="1" fillId="0" borderId="0" xfId="0" applyFont="1"/>
    <xf numFmtId="174" fontId="5" fillId="0" borderId="0" xfId="0" applyNumberFormat="1" applyFont="1"/>
    <xf numFmtId="174" fontId="0" fillId="0" borderId="0" xfId="0" applyNumberFormat="1"/>
    <xf numFmtId="174" fontId="2" fillId="0" borderId="1" xfId="0" applyNumberFormat="1" applyFont="1" applyFill="1" applyBorder="1"/>
    <xf numFmtId="174" fontId="2" fillId="0" borderId="1" xfId="0" applyNumberFormat="1" applyFont="1" applyFill="1" applyBorder="1" applyAlignment="1">
      <alignment horizontal="center"/>
    </xf>
    <xf numFmtId="174" fontId="2" fillId="0" borderId="0" xfId="0" applyNumberFormat="1" applyFont="1" applyFill="1" applyAlignment="1">
      <alignment horizontal="center"/>
    </xf>
    <xf numFmtId="174" fontId="2" fillId="0" borderId="0" xfId="0" applyNumberFormat="1" applyFont="1" applyFill="1"/>
    <xf numFmtId="174" fontId="7" fillId="0" borderId="0" xfId="0" applyNumberFormat="1" applyFont="1"/>
    <xf numFmtId="174" fontId="7" fillId="0" borderId="2" xfId="0" applyNumberFormat="1" applyFont="1" applyBorder="1"/>
    <xf numFmtId="174" fontId="1" fillId="0" borderId="0" xfId="0" applyNumberFormat="1" applyFont="1" applyBorder="1"/>
    <xf numFmtId="0" fontId="0" fillId="0" borderId="1" xfId="0" applyBorder="1" applyAlignment="1">
      <alignment horizontal="center"/>
    </xf>
    <xf numFmtId="169" fontId="2" fillId="0" borderId="1" xfId="1" applyNumberFormat="1" applyFont="1" applyFill="1" applyBorder="1" applyAlignment="1">
      <alignment horizontal="center"/>
    </xf>
    <xf numFmtId="171" fontId="0" fillId="0" borderId="1" xfId="2" applyNumberFormat="1" applyFont="1" applyFill="1" applyBorder="1" applyAlignment="1">
      <alignment horizontal="center"/>
    </xf>
    <xf numFmtId="166" fontId="0" fillId="0" borderId="0" xfId="1" applyFont="1" applyFill="1" applyBorder="1" applyAlignment="1">
      <alignment horizontal="center"/>
    </xf>
    <xf numFmtId="166" fontId="2" fillId="0" borderId="0" xfId="1" applyFont="1" applyFill="1" applyBorder="1" applyAlignment="1">
      <alignment horizontal="center"/>
    </xf>
    <xf numFmtId="171" fontId="0" fillId="0" borderId="1" xfId="1" applyNumberFormat="1" applyFont="1" applyFill="1" applyBorder="1" applyAlignment="1">
      <alignment horizontal="center"/>
    </xf>
    <xf numFmtId="0" fontId="12" fillId="0" borderId="0" xfId="0" applyFont="1"/>
    <xf numFmtId="0" fontId="0" fillId="0" borderId="0" xfId="0" quotePrefix="1" applyAlignment="1">
      <alignment horizontal="left"/>
    </xf>
    <xf numFmtId="0" fontId="2" fillId="0" borderId="16" xfId="0" applyFont="1" applyBorder="1"/>
    <xf numFmtId="171" fontId="0" fillId="0" borderId="17" xfId="0" applyNumberFormat="1" applyBorder="1" applyAlignment="1">
      <alignment horizontal="center"/>
    </xf>
    <xf numFmtId="0" fontId="2" fillId="0" borderId="18" xfId="0" applyFont="1" applyBorder="1"/>
    <xf numFmtId="171" fontId="0" fillId="0" borderId="19" xfId="0" applyNumberFormat="1" applyBorder="1" applyAlignment="1">
      <alignment horizontal="center"/>
    </xf>
    <xf numFmtId="166" fontId="2" fillId="0" borderId="1" xfId="1" applyFont="1" applyFill="1" applyBorder="1" applyAlignment="1">
      <alignment horizontal="center"/>
    </xf>
    <xf numFmtId="169" fontId="2" fillId="0" borderId="6" xfId="1" applyNumberFormat="1" applyFont="1" applyFill="1" applyBorder="1" applyAlignment="1">
      <alignment horizontal="center"/>
    </xf>
    <xf numFmtId="167" fontId="1" fillId="0" borderId="0" xfId="0" applyNumberFormat="1" applyFont="1"/>
    <xf numFmtId="167" fontId="2" fillId="0" borderId="1" xfId="0" applyNumberFormat="1" applyFont="1" applyBorder="1"/>
    <xf numFmtId="167" fontId="0" fillId="0" borderId="1" xfId="0" applyNumberFormat="1" applyBorder="1" applyAlignment="1">
      <alignment horizontal="center"/>
    </xf>
    <xf numFmtId="166" fontId="0" fillId="0" borderId="1" xfId="1" applyFont="1" applyFill="1" applyBorder="1" applyAlignment="1">
      <alignment horizontal="center"/>
    </xf>
    <xf numFmtId="167" fontId="2" fillId="0" borderId="0" xfId="0" applyNumberFormat="1" applyFont="1"/>
    <xf numFmtId="167" fontId="0" fillId="0" borderId="0" xfId="0" applyNumberFormat="1" applyAlignment="1">
      <alignment horizontal="center"/>
    </xf>
    <xf numFmtId="1" fontId="0" fillId="0" borderId="0" xfId="0" applyNumberFormat="1" applyAlignment="1">
      <alignment horizontal="center"/>
    </xf>
    <xf numFmtId="0" fontId="0" fillId="0" borderId="1" xfId="0" applyBorder="1"/>
    <xf numFmtId="0" fontId="0" fillId="4" borderId="1" xfId="0" applyFill="1" applyBorder="1"/>
    <xf numFmtId="0" fontId="0" fillId="5" borderId="1" xfId="0" applyFill="1" applyBorder="1"/>
    <xf numFmtId="0" fontId="17" fillId="0" borderId="0" xfId="0" applyFont="1"/>
    <xf numFmtId="175" fontId="0" fillId="0" borderId="1" xfId="2" applyNumberFormat="1" applyFont="1" applyFill="1" applyBorder="1" applyAlignment="1">
      <alignment horizontal="center"/>
    </xf>
    <xf numFmtId="0" fontId="11" fillId="0" borderId="0" xfId="0" applyFont="1"/>
    <xf numFmtId="0" fontId="20" fillId="0" borderId="0" xfId="0" applyFont="1"/>
    <xf numFmtId="0" fontId="20" fillId="6" borderId="1" xfId="0" applyFont="1" applyFill="1" applyBorder="1"/>
    <xf numFmtId="176" fontId="0" fillId="0" borderId="0" xfId="0" applyNumberFormat="1"/>
    <xf numFmtId="0" fontId="21" fillId="0" borderId="0" xfId="0" applyFont="1"/>
    <xf numFmtId="0" fontId="22" fillId="0" borderId="0" xfId="0" applyFont="1"/>
    <xf numFmtId="177" fontId="20" fillId="0" borderId="0" xfId="0" applyNumberFormat="1" applyFont="1"/>
    <xf numFmtId="0" fontId="20" fillId="6" borderId="0" xfId="0" applyFont="1" applyFill="1" applyBorder="1"/>
    <xf numFmtId="178" fontId="11" fillId="0" borderId="0" xfId="0" applyNumberFormat="1" applyFont="1"/>
    <xf numFmtId="178" fontId="0" fillId="0" borderId="0" xfId="0" applyNumberFormat="1" applyFont="1"/>
    <xf numFmtId="178" fontId="23" fillId="0" borderId="0" xfId="0" applyNumberFormat="1" applyFont="1"/>
    <xf numFmtId="178" fontId="24" fillId="0" borderId="0" xfId="0" applyNumberFormat="1" applyFont="1"/>
    <xf numFmtId="169" fontId="0" fillId="0" borderId="1" xfId="1" applyNumberFormat="1" applyFont="1" applyBorder="1"/>
    <xf numFmtId="169" fontId="2" fillId="0" borderId="1" xfId="1" applyNumberFormat="1" applyFont="1" applyBorder="1"/>
    <xf numFmtId="168" fontId="0" fillId="0" borderId="1" xfId="0" applyNumberFormat="1" applyFont="1" applyFill="1" applyBorder="1" applyAlignment="1">
      <alignment horizontal="center"/>
    </xf>
    <xf numFmtId="168" fontId="2" fillId="0" borderId="1" xfId="0" applyNumberFormat="1" applyFont="1" applyBorder="1"/>
    <xf numFmtId="169" fontId="9" fillId="0" borderId="1" xfId="1" applyNumberFormat="1" applyFont="1" applyBorder="1"/>
    <xf numFmtId="0" fontId="0" fillId="0" borderId="0" xfId="0" applyFont="1" applyFill="1"/>
    <xf numFmtId="169" fontId="2" fillId="0" borderId="0" xfId="0" applyNumberFormat="1" applyFont="1" applyFill="1"/>
    <xf numFmtId="0" fontId="0" fillId="0" borderId="1" xfId="0" applyNumberFormat="1" applyBorder="1"/>
    <xf numFmtId="0" fontId="0" fillId="0" borderId="1" xfId="0" applyFont="1" applyBorder="1"/>
    <xf numFmtId="0" fontId="0" fillId="0" borderId="1" xfId="2" applyNumberFormat="1" applyFont="1" applyBorder="1"/>
    <xf numFmtId="169" fontId="0" fillId="0" borderId="1" xfId="0" applyNumberFormat="1" applyFill="1" applyBorder="1"/>
    <xf numFmtId="169" fontId="0" fillId="0" borderId="1" xfId="2" applyNumberFormat="1" applyFont="1" applyBorder="1"/>
    <xf numFmtId="169" fontId="0" fillId="0" borderId="1" xfId="0" applyNumberFormat="1" applyBorder="1"/>
    <xf numFmtId="174" fontId="1" fillId="0" borderId="1" xfId="0" applyNumberFormat="1" applyFont="1" applyFill="1" applyBorder="1"/>
    <xf numFmtId="174" fontId="2" fillId="0" borderId="1" xfId="0" applyNumberFormat="1" applyFont="1" applyBorder="1"/>
    <xf numFmtId="174" fontId="0" fillId="0" borderId="1" xfId="0" applyNumberFormat="1" applyBorder="1"/>
    <xf numFmtId="174" fontId="0" fillId="0" borderId="1" xfId="0" applyNumberFormat="1" applyFont="1" applyBorder="1"/>
    <xf numFmtId="174" fontId="2" fillId="0" borderId="0" xfId="0" applyNumberFormat="1" applyFont="1" applyBorder="1"/>
    <xf numFmtId="174" fontId="0" fillId="0" borderId="0" xfId="0" applyNumberFormat="1" applyBorder="1"/>
    <xf numFmtId="174" fontId="0" fillId="0" borderId="0" xfId="0" applyNumberFormat="1" applyFont="1" applyBorder="1"/>
    <xf numFmtId="174" fontId="1" fillId="0" borderId="9" xfId="0" applyNumberFormat="1" applyFont="1" applyBorder="1"/>
    <xf numFmtId="174" fontId="2" fillId="0" borderId="6" xfId="0" applyNumberFormat="1" applyFont="1" applyBorder="1" applyAlignment="1"/>
    <xf numFmtId="174" fontId="2" fillId="0" borderId="8" xfId="0" applyNumberFormat="1" applyFont="1" applyBorder="1" applyAlignment="1"/>
    <xf numFmtId="174" fontId="7" fillId="7" borderId="0" xfId="0" applyNumberFormat="1" applyFont="1" applyFill="1" applyBorder="1"/>
    <xf numFmtId="174" fontId="7" fillId="7" borderId="1" xfId="0" applyNumberFormat="1" applyFont="1" applyFill="1" applyBorder="1"/>
    <xf numFmtId="174" fontId="1" fillId="7" borderId="1" xfId="0" applyNumberFormat="1" applyFont="1" applyFill="1" applyBorder="1"/>
    <xf numFmtId="174" fontId="14" fillId="7" borderId="1" xfId="0" applyNumberFormat="1" applyFont="1" applyFill="1" applyBorder="1" applyAlignment="1">
      <alignment horizontal="right"/>
    </xf>
    <xf numFmtId="174" fontId="0" fillId="0" borderId="20" xfId="0" applyNumberFormat="1" applyBorder="1"/>
    <xf numFmtId="174" fontId="1" fillId="7" borderId="0" xfId="0" applyNumberFormat="1" applyFont="1" applyFill="1" applyBorder="1"/>
    <xf numFmtId="174" fontId="7" fillId="0" borderId="0" xfId="0" applyNumberFormat="1" applyFont="1" applyBorder="1"/>
    <xf numFmtId="0" fontId="23" fillId="0" borderId="0" xfId="0" applyFont="1"/>
    <xf numFmtId="170" fontId="23" fillId="0" borderId="0" xfId="2" applyNumberFormat="1" applyFont="1"/>
    <xf numFmtId="170" fontId="0" fillId="0" borderId="0" xfId="2" applyNumberFormat="1" applyFont="1" applyAlignment="1">
      <alignment horizontal="center"/>
    </xf>
    <xf numFmtId="170" fontId="2" fillId="0" borderId="7" xfId="2" applyNumberFormat="1" applyFont="1" applyBorder="1" applyAlignment="1">
      <alignment horizontal="center"/>
    </xf>
    <xf numFmtId="165" fontId="18" fillId="7" borderId="1" xfId="2" applyFont="1" applyFill="1" applyBorder="1"/>
    <xf numFmtId="0" fontId="1" fillId="0" borderId="1" xfId="0" applyFont="1" applyFill="1" applyBorder="1"/>
    <xf numFmtId="0" fontId="0" fillId="0" borderId="1" xfId="0" applyFill="1" applyBorder="1"/>
    <xf numFmtId="165" fontId="0" fillId="0" borderId="1" xfId="2" applyFont="1" applyFill="1" applyBorder="1"/>
    <xf numFmtId="0" fontId="7" fillId="0" borderId="1" xfId="0" applyFont="1" applyFill="1" applyBorder="1"/>
    <xf numFmtId="165" fontId="2" fillId="0" borderId="1" xfId="2" applyFont="1" applyFill="1" applyBorder="1"/>
    <xf numFmtId="179" fontId="0" fillId="0" borderId="1" xfId="2" applyNumberFormat="1" applyFont="1" applyFill="1" applyBorder="1"/>
    <xf numFmtId="0" fontId="1" fillId="0" borderId="21" xfId="0" applyFont="1" applyFill="1" applyBorder="1"/>
    <xf numFmtId="0" fontId="0" fillId="0" borderId="21" xfId="0" applyFill="1" applyBorder="1"/>
    <xf numFmtId="165" fontId="0" fillId="0" borderId="21" xfId="2" applyFont="1" applyFill="1" applyBorder="1"/>
    <xf numFmtId="49" fontId="6" fillId="0" borderId="22" xfId="0" applyNumberFormat="1" applyFont="1" applyFill="1" applyBorder="1" applyAlignment="1">
      <alignment horizontal="right"/>
    </xf>
    <xf numFmtId="49" fontId="2" fillId="0" borderId="23" xfId="0" applyNumberFormat="1" applyFont="1" applyFill="1" applyBorder="1" applyAlignment="1">
      <alignment horizontal="center"/>
    </xf>
    <xf numFmtId="49" fontId="1" fillId="0" borderId="24" xfId="0" applyNumberFormat="1" applyFont="1" applyFill="1" applyBorder="1" applyAlignment="1">
      <alignment horizontal="center"/>
    </xf>
    <xf numFmtId="49" fontId="1" fillId="0" borderId="23" xfId="0" applyNumberFormat="1" applyFont="1" applyFill="1" applyBorder="1" applyAlignment="1">
      <alignment horizontal="center"/>
    </xf>
    <xf numFmtId="49" fontId="1" fillId="0" borderId="25" xfId="0" applyNumberFormat="1" applyFont="1" applyFill="1" applyBorder="1" applyAlignment="1">
      <alignment horizontal="center"/>
    </xf>
    <xf numFmtId="0" fontId="13" fillId="0" borderId="1" xfId="0" applyFont="1" applyFill="1" applyBorder="1" applyAlignment="1">
      <alignment horizontal="left"/>
    </xf>
    <xf numFmtId="0" fontId="2" fillId="0" borderId="1" xfId="0" applyFont="1" applyBorder="1" applyAlignment="1">
      <alignment horizontal="center"/>
    </xf>
    <xf numFmtId="0" fontId="25" fillId="0" borderId="0" xfId="0" applyFont="1"/>
    <xf numFmtId="2" fontId="2" fillId="0" borderId="1" xfId="0" applyNumberFormat="1" applyFont="1" applyFill="1" applyBorder="1" applyAlignment="1">
      <alignment horizontal="center"/>
    </xf>
    <xf numFmtId="1" fontId="0" fillId="0" borderId="1" xfId="0" applyNumberFormat="1" applyFont="1" applyFill="1" applyBorder="1" applyAlignment="1">
      <alignment horizontal="right"/>
    </xf>
    <xf numFmtId="0" fontId="1" fillId="0" borderId="26" xfId="0" applyFont="1" applyBorder="1"/>
    <xf numFmtId="0" fontId="2" fillId="0" borderId="27" xfId="0" applyFont="1" applyBorder="1"/>
    <xf numFmtId="0" fontId="0" fillId="0" borderId="27" xfId="0" applyBorder="1" applyAlignment="1">
      <alignment horizontal="center"/>
    </xf>
    <xf numFmtId="169" fontId="0" fillId="0" borderId="27" xfId="0" applyNumberFormat="1" applyBorder="1" applyAlignment="1">
      <alignment horizontal="center"/>
    </xf>
    <xf numFmtId="165" fontId="0" fillId="0" borderId="0" xfId="2" applyFont="1" applyFill="1" applyBorder="1"/>
    <xf numFmtId="168" fontId="0" fillId="0" borderId="0" xfId="0" applyNumberFormat="1" applyFill="1" applyAlignment="1">
      <alignment horizontal="center"/>
    </xf>
    <xf numFmtId="12" fontId="0" fillId="0" borderId="0" xfId="0" applyNumberFormat="1" applyFill="1" applyAlignment="1">
      <alignment horizontal="center"/>
    </xf>
    <xf numFmtId="0" fontId="0" fillId="8" borderId="0" xfId="0" applyFill="1" applyAlignment="1">
      <alignment horizontal="center"/>
    </xf>
    <xf numFmtId="12" fontId="0" fillId="8" borderId="0" xfId="0" applyNumberFormat="1" applyFill="1" applyAlignment="1">
      <alignment horizontal="center"/>
    </xf>
    <xf numFmtId="0" fontId="0" fillId="9" borderId="0" xfId="0" applyFill="1" applyAlignment="1">
      <alignment horizontal="center"/>
    </xf>
    <xf numFmtId="168" fontId="0" fillId="9" borderId="0" xfId="0" applyNumberFormat="1" applyFill="1" applyAlignment="1">
      <alignment horizontal="center"/>
    </xf>
    <xf numFmtId="12" fontId="0" fillId="10" borderId="0" xfId="0" applyNumberFormat="1" applyFill="1" applyAlignment="1">
      <alignment horizontal="center"/>
    </xf>
    <xf numFmtId="12" fontId="0" fillId="11" borderId="0" xfId="0" applyNumberFormat="1" applyFill="1" applyAlignment="1">
      <alignment horizontal="center"/>
    </xf>
    <xf numFmtId="1" fontId="0" fillId="9" borderId="0" xfId="0" applyNumberFormat="1" applyFill="1" applyAlignment="1">
      <alignment horizontal="center"/>
    </xf>
    <xf numFmtId="1" fontId="0" fillId="8" borderId="0" xfId="0" applyNumberFormat="1" applyFill="1" applyAlignment="1">
      <alignment horizontal="center"/>
    </xf>
    <xf numFmtId="1" fontId="0" fillId="0" borderId="0" xfId="0" applyNumberFormat="1" applyFill="1" applyAlignment="1">
      <alignment horizontal="center"/>
    </xf>
    <xf numFmtId="1" fontId="0" fillId="11" borderId="0" xfId="0" applyNumberFormat="1" applyFill="1" applyAlignment="1">
      <alignment horizontal="center"/>
    </xf>
    <xf numFmtId="1" fontId="0" fillId="10" borderId="0" xfId="0" applyNumberFormat="1" applyFill="1" applyAlignment="1">
      <alignment horizontal="center"/>
    </xf>
    <xf numFmtId="0" fontId="23" fillId="0" borderId="0" xfId="2" applyNumberFormat="1" applyFont="1"/>
    <xf numFmtId="176" fontId="26" fillId="0" borderId="0" xfId="0" applyNumberFormat="1" applyFont="1"/>
    <xf numFmtId="177" fontId="27" fillId="0" borderId="0" xfId="0" applyNumberFormat="1" applyFont="1"/>
    <xf numFmtId="178" fontId="0" fillId="0" borderId="1" xfId="2" applyNumberFormat="1" applyFont="1" applyFill="1" applyBorder="1"/>
    <xf numFmtId="0" fontId="18" fillId="0" borderId="0" xfId="0" applyFont="1"/>
    <xf numFmtId="170" fontId="18" fillId="0" borderId="0" xfId="2" applyNumberFormat="1" applyFont="1"/>
    <xf numFmtId="170" fontId="0" fillId="0" borderId="0" xfId="2" applyNumberFormat="1" applyFont="1" applyAlignment="1">
      <alignment horizontal="center" vertical="center"/>
    </xf>
    <xf numFmtId="0" fontId="23" fillId="0" borderId="0" xfId="0" applyNumberFormat="1" applyFont="1"/>
    <xf numFmtId="0" fontId="0" fillId="0" borderId="0" xfId="0" applyFont="1" applyFill="1" applyBorder="1"/>
    <xf numFmtId="12" fontId="0" fillId="0" borderId="0" xfId="0" applyNumberFormat="1" applyFill="1"/>
    <xf numFmtId="165" fontId="23" fillId="0" borderId="1" xfId="2" applyFont="1" applyFill="1" applyBorder="1"/>
    <xf numFmtId="178" fontId="23" fillId="0" borderId="1" xfId="2" applyNumberFormat="1" applyFont="1" applyFill="1" applyBorder="1"/>
    <xf numFmtId="165" fontId="18" fillId="0" borderId="1" xfId="2" applyFont="1" applyFill="1" applyBorder="1"/>
    <xf numFmtId="0" fontId="14" fillId="0" borderId="1" xfId="0" applyFont="1" applyFill="1" applyBorder="1"/>
    <xf numFmtId="165" fontId="0" fillId="0" borderId="1" xfId="2" applyFont="1" applyFill="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0" xfId="0" applyFont="1" applyFill="1" applyAlignment="1">
      <alignment horizontal="center"/>
    </xf>
    <xf numFmtId="165" fontId="19" fillId="7" borderId="0" xfId="2" applyFont="1" applyFill="1" applyAlignment="1">
      <alignment horizontal="center" vertical="center"/>
    </xf>
    <xf numFmtId="0" fontId="2" fillId="0" borderId="6" xfId="0" applyFont="1" applyFill="1" applyBorder="1"/>
    <xf numFmtId="0" fontId="2" fillId="0" borderId="7" xfId="0" applyFont="1" applyFill="1" applyBorder="1" applyAlignment="1">
      <alignment horizontal="center"/>
    </xf>
    <xf numFmtId="168" fontId="2" fillId="0" borderId="7" xfId="0" applyNumberFormat="1" applyFont="1" applyFill="1" applyBorder="1" applyAlignment="1">
      <alignment horizontal="center"/>
    </xf>
    <xf numFmtId="168" fontId="2" fillId="0" borderId="8" xfId="0" applyNumberFormat="1" applyFont="1" applyFill="1" applyBorder="1" applyAlignment="1">
      <alignment horizontal="center"/>
    </xf>
    <xf numFmtId="0" fontId="0" fillId="0" borderId="9" xfId="0" applyFill="1" applyBorder="1" applyAlignment="1">
      <alignment horizontal="center"/>
    </xf>
    <xf numFmtId="0" fontId="0" fillId="0" borderId="17" xfId="0" applyFill="1" applyBorder="1" applyAlignment="1">
      <alignment horizontal="center"/>
    </xf>
    <xf numFmtId="0" fontId="2" fillId="0" borderId="28" xfId="0" applyFont="1" applyFill="1" applyBorder="1"/>
    <xf numFmtId="0" fontId="0" fillId="0" borderId="29" xfId="0" applyFill="1" applyBorder="1" applyAlignment="1">
      <alignment horizontal="center"/>
    </xf>
    <xf numFmtId="0" fontId="0" fillId="0" borderId="11" xfId="0" applyFill="1" applyBorder="1" applyAlignment="1">
      <alignment horizontal="center"/>
    </xf>
    <xf numFmtId="0" fontId="0" fillId="0" borderId="19" xfId="0" applyFill="1" applyBorder="1" applyAlignment="1">
      <alignment horizontal="center"/>
    </xf>
    <xf numFmtId="0" fontId="0" fillId="12" borderId="0" xfId="0" applyFill="1" applyAlignment="1">
      <alignment horizontal="center"/>
    </xf>
    <xf numFmtId="0" fontId="0" fillId="12" borderId="0" xfId="0" applyFill="1" applyAlignment="1">
      <alignment horizontal="left" vertical="center"/>
    </xf>
    <xf numFmtId="12" fontId="0" fillId="12" borderId="0" xfId="0" applyNumberFormat="1" applyFill="1" applyAlignment="1">
      <alignment horizontal="left" vertical="center"/>
    </xf>
    <xf numFmtId="0" fontId="2" fillId="12" borderId="0" xfId="0" applyFont="1" applyFill="1"/>
  </cellXfs>
  <cellStyles count="6">
    <cellStyle name="40% - Accent1 2" xfId="4" xr:uid="{00000000-0005-0000-0000-000000000000}"/>
    <cellStyle name="Accent1 2" xfId="3" xr:uid="{00000000-0005-0000-0000-000001000000}"/>
    <cellStyle name="Comma" xfId="1" builtinId="3"/>
    <cellStyle name="Currency" xfId="2" builtinId="4"/>
    <cellStyle name="Normal" xfId="0" builtinId="0"/>
    <cellStyle name="Normal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21898</xdr:colOff>
      <xdr:row>87</xdr:row>
      <xdr:rowOff>0</xdr:rowOff>
    </xdr:from>
    <xdr:to>
      <xdr:col>15</xdr:col>
      <xdr:colOff>580260</xdr:colOff>
      <xdr:row>99</xdr:row>
      <xdr:rowOff>208018</xdr:rowOff>
    </xdr:to>
    <xdr:sp macro="" textlink="">
      <xdr:nvSpPr>
        <xdr:cNvPr id="2" name="TextBox 1">
          <a:extLst>
            <a:ext uri="{FF2B5EF4-FFF2-40B4-BE49-F238E27FC236}">
              <a16:creationId xmlns:a16="http://schemas.microsoft.com/office/drawing/2014/main" id="{9C9497DC-8B13-4B75-8865-AB980DFFC04A}"/>
            </a:ext>
          </a:extLst>
        </xdr:cNvPr>
        <xdr:cNvSpPr txBox="1"/>
      </xdr:nvSpPr>
      <xdr:spPr>
        <a:xfrm>
          <a:off x="2222501" y="20232414"/>
          <a:ext cx="17374914" cy="2966983"/>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b="1"/>
            <a:t>Assumption</a:t>
          </a:r>
          <a:r>
            <a:rPr lang="en-US" sz="1800" b="1" baseline="0"/>
            <a:t> description</a:t>
          </a:r>
        </a:p>
        <a:p>
          <a:pPr algn="ctr"/>
          <a:endParaRPr lang="en-US" sz="1800" b="1" baseline="0"/>
        </a:p>
        <a:p>
          <a:pPr algn="l"/>
          <a:r>
            <a:rPr lang="en-US" sz="1400" b="1"/>
            <a:t>The sales budget represents</a:t>
          </a:r>
          <a:r>
            <a:rPr lang="en-US" sz="1400" b="1" baseline="0"/>
            <a:t> our assumed sales volumes starting from quarter two, as no sales are made in the first quarter.</a:t>
          </a:r>
        </a:p>
        <a:p>
          <a:pPr algn="l"/>
          <a:r>
            <a:rPr lang="en-US" sz="1400" b="1" baseline="0"/>
            <a:t>We assumed the sales volumes by looking at the dutch market sales (50000 sales per quarter). We assume, that after the move to the UK, our sales will be around 30000 in the first quarter, as the phones will not be as popular among the British users.</a:t>
          </a:r>
        </a:p>
        <a:p>
          <a:pPr algn="l"/>
          <a:r>
            <a:rPr lang="en-US" sz="1400" b="1" baseline="0"/>
            <a:t>The sales then should start increasing gradualy every quarter and peak in the winter holiday season, as everyone is buying gifts for themselves and others, which should result in a surge of sales, which can be seen in the sales assumption of Q4 each year.</a:t>
          </a:r>
        </a:p>
        <a:p>
          <a:pPr algn="l"/>
          <a:r>
            <a:rPr lang="en-US" sz="1400" b="1" baseline="0"/>
            <a:t>In the three tables below the sales budget, we can see the monthly cash inflow, with the dealyed payments included. We assumed that 40% of our sales would be bought with the option to pay later, this allows us to the the accounts recievable, that have not been paid at the end of the year.</a:t>
          </a:r>
        </a:p>
        <a:p>
          <a:pPr algn="l"/>
          <a:endParaRPr lang="en-US" sz="1400" b="1" baseline="0"/>
        </a:p>
        <a:p>
          <a:pPr algn="l"/>
          <a:endParaRPr lang="en-US"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864306</xdr:colOff>
      <xdr:row>37</xdr:row>
      <xdr:rowOff>8819</xdr:rowOff>
    </xdr:from>
    <xdr:to>
      <xdr:col>14</xdr:col>
      <xdr:colOff>864306</xdr:colOff>
      <xdr:row>45</xdr:row>
      <xdr:rowOff>0</xdr:rowOff>
    </xdr:to>
    <xdr:sp macro="" textlink="">
      <xdr:nvSpPr>
        <xdr:cNvPr id="2" name="TextBox 1">
          <a:extLst>
            <a:ext uri="{FF2B5EF4-FFF2-40B4-BE49-F238E27FC236}">
              <a16:creationId xmlns:a16="http://schemas.microsoft.com/office/drawing/2014/main" id="{E2C70536-7613-4398-87E2-46F2950D146F}"/>
            </a:ext>
          </a:extLst>
        </xdr:cNvPr>
        <xdr:cNvSpPr txBox="1"/>
      </xdr:nvSpPr>
      <xdr:spPr>
        <a:xfrm>
          <a:off x="864306" y="9569097"/>
          <a:ext cx="13026319" cy="1896181"/>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a:t>Production</a:t>
          </a:r>
          <a:r>
            <a:rPr lang="en-US" sz="1600" b="1" baseline="0"/>
            <a:t> assumption description</a:t>
          </a:r>
        </a:p>
        <a:p>
          <a:pPr algn="l"/>
          <a:r>
            <a:rPr lang="en-US" sz="1200" b="1"/>
            <a:t>In the production</a:t>
          </a:r>
          <a:r>
            <a:rPr lang="en-US" sz="1200" b="1" baseline="0"/>
            <a:t> budget, we can see three tables that represent the amount of units sold and produced, regarding the sales of previous quarters.</a:t>
          </a:r>
        </a:p>
        <a:p>
          <a:pPr algn="l"/>
          <a:r>
            <a:rPr lang="en-US" sz="1200" b="1" baseline="0"/>
            <a:t>For the desired ending inventory, we chose to have a 25% safety stock, which means that we want to have a 25% of overhead production, to cover higher sales volumes than expected and prevent stockouts which result in losses of profits, which is never good for a company.</a:t>
          </a:r>
        </a:p>
        <a:p>
          <a:pPr algn="l"/>
          <a:r>
            <a:rPr lang="en-US" sz="1200" b="1" baseline="0"/>
            <a:t>The begining inventory for each quarter is the ending inventory from the previous quarter.</a:t>
          </a:r>
        </a:p>
        <a:p>
          <a:pPr algn="l"/>
          <a:r>
            <a:rPr lang="en-US" sz="1200" b="1" baseline="0"/>
            <a:t>The production budget for repair parts represents the amount of repair kits ( Whole phones disassembled in parts that cost the same as the manufacturing price for each phone).</a:t>
          </a:r>
        </a:p>
        <a:p>
          <a:pPr algn="l"/>
          <a:r>
            <a:rPr lang="en-US" sz="1200" b="1" baseline="0"/>
            <a:t>We predict that 5% of phones sold might break, so we will need to have (0.05*Phone sales) ready in parts to be repaired.</a:t>
          </a:r>
        </a:p>
        <a:p>
          <a:pPr algn="l"/>
          <a:endParaRPr lang="en-US" sz="12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18</xdr:row>
      <xdr:rowOff>0</xdr:rowOff>
    </xdr:from>
    <xdr:to>
      <xdr:col>15</xdr:col>
      <xdr:colOff>15875</xdr:colOff>
      <xdr:row>35</xdr:row>
      <xdr:rowOff>97692</xdr:rowOff>
    </xdr:to>
    <xdr:sp macro="" textlink="">
      <xdr:nvSpPr>
        <xdr:cNvPr id="2" name="TextBox 1">
          <a:extLst>
            <a:ext uri="{FF2B5EF4-FFF2-40B4-BE49-F238E27FC236}">
              <a16:creationId xmlns:a16="http://schemas.microsoft.com/office/drawing/2014/main" id="{7609DBB1-5E39-413A-B793-5C869DB21C46}"/>
            </a:ext>
          </a:extLst>
        </xdr:cNvPr>
        <xdr:cNvSpPr txBox="1"/>
      </xdr:nvSpPr>
      <xdr:spPr>
        <a:xfrm>
          <a:off x="619125" y="4524375"/>
          <a:ext cx="16573500" cy="4145817"/>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 the SG&amp;A sheet we can see all the expenses planned,</a:t>
          </a:r>
          <a:r>
            <a:rPr lang="en-US" sz="1100" b="1" baseline="0"/>
            <a:t> that occur without the purchasing of the actual phones.</a:t>
          </a:r>
        </a:p>
        <a:p>
          <a:endParaRPr lang="en-US" sz="1100" b="1" baseline="0"/>
        </a:p>
        <a:p>
          <a:r>
            <a:rPr lang="en-US" sz="1100" b="1" baseline="0"/>
            <a:t>For the marketing campaign, we chose to invest more into the first quarter, where having a good start is very important. We also increased the budget for each holiday season of Q4, when the people are doubting on what to buy their loved ones for christmas, and a well placed CleanCall advertisment might me the call to action that they needed, to make up their minds and buy our product.</a:t>
          </a:r>
        </a:p>
        <a:p>
          <a:endParaRPr lang="en-US" sz="1100" b="1" baseline="0"/>
        </a:p>
        <a:p>
          <a:r>
            <a:rPr lang="en-US" sz="1100" b="1" baseline="0"/>
            <a:t>For the salaries, we decided to pay larger than minimum salaries for our non-managing employees and higher rates for managerial positions. With the increase of the number of employees, the expenditure also increases.</a:t>
          </a:r>
        </a:p>
        <a:p>
          <a:endParaRPr lang="en-US" sz="1100" b="1" baseline="0"/>
        </a:p>
        <a:p>
          <a:r>
            <a:rPr lang="en-US" sz="1100" b="1" baseline="0"/>
            <a:t>For the capital expenditure, we calculated the laptops that will be bought for each employee. When  our employee number increases, we buy a lapotop for them too, an average (not low grade) laptop costs around 600.</a:t>
          </a:r>
        </a:p>
        <a:p>
          <a:endParaRPr lang="en-US" sz="1100" b="1" baseline="0"/>
        </a:p>
        <a:p>
          <a:r>
            <a:rPr lang="en-US" sz="1100" b="1" baseline="0"/>
            <a:t>For the repair parts we calculated, that 5% of the phone bought, might need a replacement part, so we stocked up with full part kits for each phone, and you can see the expenses for that.</a:t>
          </a:r>
        </a:p>
        <a:p>
          <a:endParaRPr lang="en-US" sz="1100" b="1" baseline="0"/>
        </a:p>
        <a:p>
          <a:r>
            <a:rPr lang="en-US" sz="1100" b="1" baseline="0"/>
            <a:t>For logistics, we looked up prices and estimated that the shipment of one phone costs 3 dollars, you can see the total expenditure for shipping each quarter.</a:t>
          </a:r>
        </a:p>
        <a:p>
          <a:endParaRPr lang="en-US" sz="1100" b="1" baseline="0"/>
        </a:p>
        <a:p>
          <a:r>
            <a:rPr lang="en-US" sz="1100" b="1" baseline="0"/>
            <a:t>In the Travel expenses line we can see the estimated expenses for managerial employees travels between the UK and NL if needed. It increases as more people are hired, and is just an estimate of how much money should be put aside, to cover the travels of our employees if needed.</a:t>
          </a:r>
        </a:p>
        <a:p>
          <a:endParaRPr lang="en-US" sz="1100" b="1" baseline="0"/>
        </a:p>
        <a:p>
          <a:r>
            <a:rPr lang="en-US" sz="1100" b="1" baseline="0"/>
            <a:t>The comission fee is taken as 15% paid to the physical electronic stores in the UK, where we sell 40% of our phones through.</a:t>
          </a:r>
        </a:p>
        <a:p>
          <a:endParaRPr lang="en-US" sz="1100" b="1" baseline="0"/>
        </a:p>
        <a:p>
          <a:r>
            <a:rPr lang="en-US" sz="1100" b="1" baseline="0"/>
            <a:t>For the insurance, we looked up quarterly rates to insure our workers and the warehouse operation in the UK.</a:t>
          </a:r>
        </a:p>
        <a:p>
          <a:endParaRPr lang="en-US" sz="1100" b="1" baseline="0"/>
        </a:p>
        <a:p>
          <a:r>
            <a:rPr lang="en-US" sz="1100" b="1" baseline="0"/>
            <a:t>Utilities represents the upkeep price of our office and thw warehouse.</a:t>
          </a:r>
        </a:p>
        <a:p>
          <a:endParaRPr lang="en-US" sz="1100" b="1" baseline="0"/>
        </a:p>
        <a:p>
          <a:r>
            <a:rPr lang="en-US" sz="1100" b="1" baseline="0"/>
            <a:t>The rent is the office price added with the warehouse rent price and multiplied by months.</a:t>
          </a:r>
        </a:p>
        <a:p>
          <a:endParaRPr lang="en-US" sz="1100" baseline="0"/>
        </a:p>
        <a:p>
          <a:endParaRPr lang="en-US" sz="1100" baseline="0"/>
        </a:p>
        <a:p>
          <a:endParaRPr lang="en-US" sz="1100" baseline="0"/>
        </a:p>
        <a:p>
          <a:endParaRPr lang="en-US" sz="1100" baseline="0"/>
        </a:p>
        <a:p>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3233616</xdr:colOff>
      <xdr:row>17</xdr:row>
      <xdr:rowOff>9769</xdr:rowOff>
    </xdr:from>
    <xdr:to>
      <xdr:col>10</xdr:col>
      <xdr:colOff>459155</xdr:colOff>
      <xdr:row>20</xdr:row>
      <xdr:rowOff>-1</xdr:rowOff>
    </xdr:to>
    <xdr:sp macro="" textlink="">
      <xdr:nvSpPr>
        <xdr:cNvPr id="2" name="TextBox 1">
          <a:extLst>
            <a:ext uri="{FF2B5EF4-FFF2-40B4-BE49-F238E27FC236}">
              <a16:creationId xmlns:a16="http://schemas.microsoft.com/office/drawing/2014/main" id="{A02BA174-ED98-4257-A4C8-4738B9920AAE}"/>
            </a:ext>
          </a:extLst>
        </xdr:cNvPr>
        <xdr:cNvSpPr txBox="1"/>
      </xdr:nvSpPr>
      <xdr:spPr>
        <a:xfrm>
          <a:off x="3233616" y="4386384"/>
          <a:ext cx="12250616" cy="722923"/>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 the cash budget, you can see what</a:t>
          </a:r>
          <a:r>
            <a:rPr lang="en-US" sz="1100" b="1" baseline="0"/>
            <a:t> the cash inflow of our company was, together with the cash spent for purchasing the phones from China and all the SG&amp;A expenses that were discussed in the SG&amp;A sheet. </a:t>
          </a:r>
        </a:p>
        <a:p>
          <a:r>
            <a:rPr lang="en-US" sz="1100" b="1" baseline="0"/>
            <a:t>Thanks to this sheet we can see our ending cash balance for each quarter.</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5603</xdr:colOff>
      <xdr:row>4</xdr:row>
      <xdr:rowOff>746</xdr:rowOff>
    </xdr:from>
    <xdr:to>
      <xdr:col>13</xdr:col>
      <xdr:colOff>575235</xdr:colOff>
      <xdr:row>9</xdr:row>
      <xdr:rowOff>74706</xdr:rowOff>
    </xdr:to>
    <xdr:sp macro="" textlink="">
      <xdr:nvSpPr>
        <xdr:cNvPr id="2" name="TextBox 1">
          <a:extLst>
            <a:ext uri="{FF2B5EF4-FFF2-40B4-BE49-F238E27FC236}">
              <a16:creationId xmlns:a16="http://schemas.microsoft.com/office/drawing/2014/main" id="{F65FA9D6-80FC-45AA-8785-3914A4B8E890}"/>
            </a:ext>
          </a:extLst>
        </xdr:cNvPr>
        <xdr:cNvSpPr txBox="1"/>
      </xdr:nvSpPr>
      <xdr:spPr>
        <a:xfrm>
          <a:off x="8156015" y="1024217"/>
          <a:ext cx="4760632" cy="1045136"/>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 the Income statement</a:t>
          </a:r>
          <a:r>
            <a:rPr lang="en-US" sz="1100" b="1" baseline="0"/>
            <a:t> you can see the total income and expenditures of the company. The red numbers represent a subtraction, while the black represent an increase.</a:t>
          </a:r>
        </a:p>
        <a:p>
          <a:r>
            <a:rPr lang="en-US" sz="1100" b="1" baseline="0"/>
            <a:t>The corporate income tax rates in the UK is 19%, which can be seen represented in the Operating Expenses.</a:t>
          </a: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5</xdr:row>
      <xdr:rowOff>0</xdr:rowOff>
    </xdr:from>
    <xdr:to>
      <xdr:col>11</xdr:col>
      <xdr:colOff>610576</xdr:colOff>
      <xdr:row>12</xdr:row>
      <xdr:rowOff>56987</xdr:rowOff>
    </xdr:to>
    <xdr:sp macro="" textlink="">
      <xdr:nvSpPr>
        <xdr:cNvPr id="2" name="TextBox 1">
          <a:extLst>
            <a:ext uri="{FF2B5EF4-FFF2-40B4-BE49-F238E27FC236}">
              <a16:creationId xmlns:a16="http://schemas.microsoft.com/office/drawing/2014/main" id="{454C030D-BE13-46A6-8BA5-F90A7217AFC4}"/>
            </a:ext>
          </a:extLst>
        </xdr:cNvPr>
        <xdr:cNvSpPr txBox="1"/>
      </xdr:nvSpPr>
      <xdr:spPr>
        <a:xfrm>
          <a:off x="8206154" y="1261859"/>
          <a:ext cx="4322884" cy="1416538"/>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 the cash flow statement you can see where the companies cash</a:t>
          </a:r>
          <a:r>
            <a:rPr lang="en-US" sz="1100" b="1" baseline="0"/>
            <a:t> flows. You can see the depreciation added back as it is not a cash transaction.</a:t>
          </a:r>
        </a:p>
        <a:p>
          <a:r>
            <a:rPr lang="en-US" sz="1100" b="1" baseline="0"/>
            <a:t>You can see the 6000000 issued in shares, that helps us to maintain the expansion to the UK.</a:t>
          </a:r>
        </a:p>
        <a:p>
          <a:r>
            <a:rPr lang="en-US" sz="1100" b="1" baseline="0"/>
            <a:t>As mentioned in the sales budget, a part of the income will be received after 3 moths from the original sale and is represented as Accounts receivable.</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18677</xdr:colOff>
      <xdr:row>4</xdr:row>
      <xdr:rowOff>233456</xdr:rowOff>
    </xdr:from>
    <xdr:to>
      <xdr:col>12</xdr:col>
      <xdr:colOff>289486</xdr:colOff>
      <xdr:row>12</xdr:row>
      <xdr:rowOff>28015</xdr:rowOff>
    </xdr:to>
    <xdr:sp macro="" textlink="">
      <xdr:nvSpPr>
        <xdr:cNvPr id="2" name="TextBox 1">
          <a:extLst>
            <a:ext uri="{FF2B5EF4-FFF2-40B4-BE49-F238E27FC236}">
              <a16:creationId xmlns:a16="http://schemas.microsoft.com/office/drawing/2014/main" id="{1B428953-0BF3-4387-92C8-50539A186E3E}"/>
            </a:ext>
          </a:extLst>
        </xdr:cNvPr>
        <xdr:cNvSpPr txBox="1"/>
      </xdr:nvSpPr>
      <xdr:spPr>
        <a:xfrm>
          <a:off x="8198971" y="1428750"/>
          <a:ext cx="5313456" cy="1736912"/>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 the balance sheet all of our short</a:t>
          </a:r>
          <a:r>
            <a:rPr lang="en-US" sz="1100" b="1" baseline="0"/>
            <a:t> and long term assets can be seen. At the start, we calculated that we will need 12 million to successfully start the operation in the UK. We issued 6 million in common stock, which was described in the Cash flow statement, and the other 6 million were retained earnings that you can see in the opening balance. </a:t>
          </a:r>
        </a:p>
        <a:p>
          <a:r>
            <a:rPr lang="en-US" sz="1100" b="1" baseline="0"/>
            <a:t>The depreciation is the amount that our equipment-laptops depreciate annually, which is 33% each year.</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19242</xdr:colOff>
      <xdr:row>35</xdr:row>
      <xdr:rowOff>0</xdr:rowOff>
    </xdr:from>
    <xdr:to>
      <xdr:col>10</xdr:col>
      <xdr:colOff>865909</xdr:colOff>
      <xdr:row>51</xdr:row>
      <xdr:rowOff>76969</xdr:rowOff>
    </xdr:to>
    <xdr:sp macro="" textlink="">
      <xdr:nvSpPr>
        <xdr:cNvPr id="2" name="TextBox 1">
          <a:extLst>
            <a:ext uri="{FF2B5EF4-FFF2-40B4-BE49-F238E27FC236}">
              <a16:creationId xmlns:a16="http://schemas.microsoft.com/office/drawing/2014/main" id="{004EA38B-83F2-484E-8861-943C13A563C7}"/>
            </a:ext>
          </a:extLst>
        </xdr:cNvPr>
        <xdr:cNvSpPr txBox="1"/>
      </xdr:nvSpPr>
      <xdr:spPr>
        <a:xfrm>
          <a:off x="19242" y="8168409"/>
          <a:ext cx="11545455" cy="3001818"/>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Description</a:t>
          </a:r>
          <a:endParaRPr lang="en-US" sz="1100"/>
        </a:p>
        <a:p>
          <a:r>
            <a:rPr lang="en-US" sz="1100"/>
            <a:t>​</a:t>
          </a:r>
        </a:p>
        <a:p>
          <a:r>
            <a:rPr lang="en-US" sz="1100"/>
            <a:t>CleanCall Pro X - the percentage of excess inventory (minimum safety stock) starts from 20% and gradually decreases to 15% from the sales of CleanCall Pro X. The number will decrease each year as the company will better understand the buying trends within each year. </a:t>
          </a:r>
        </a:p>
        <a:p>
          <a:r>
            <a:rPr lang="en-US" sz="1100"/>
            <a:t>CleanCall Plus - the percentage of excess inventory (minimum safety stock) starts from 20% and gradually decreases to 15% from the sales of CleanCall Pro X. The number will decrease each year as the company will better understand the buying trends within each year. </a:t>
          </a:r>
        </a:p>
        <a:p>
          <a:endParaRPr lang="en-US" sz="1100"/>
        </a:p>
        <a:p>
          <a:r>
            <a:rPr lang="en-US" sz="1100" b="1">
              <a:solidFill>
                <a:schemeClr val="dk1"/>
              </a:solidFill>
              <a:effectLst/>
              <a:latin typeface="+mn-lt"/>
              <a:ea typeface="+mn-ea"/>
              <a:cs typeface="+mn-cs"/>
            </a:rPr>
            <a:t>Purchasing plan</a:t>
          </a:r>
          <a:endParaRPr lang="en-US" b="1"/>
        </a:p>
        <a:p>
          <a:r>
            <a:rPr lang="en-US" sz="1100" b="1">
              <a:solidFill>
                <a:schemeClr val="dk1"/>
              </a:solidFill>
              <a:effectLst/>
              <a:latin typeface="+mn-lt"/>
              <a:ea typeface="+mn-ea"/>
              <a:cs typeface="+mn-cs"/>
            </a:rPr>
            <a:t>​</a:t>
          </a:r>
          <a:endParaRPr lang="en-US" b="1"/>
        </a:p>
        <a:p>
          <a:r>
            <a:rPr lang="en-US" sz="1100">
              <a:solidFill>
                <a:schemeClr val="dk1"/>
              </a:solidFill>
              <a:effectLst/>
              <a:latin typeface="+mn-lt"/>
              <a:ea typeface="+mn-ea"/>
              <a:cs typeface="+mn-cs"/>
            </a:rPr>
            <a:t>As the lead time takes 60 days, CleanCall Pro X and CleanCall plus are purchased for the upcoming period one quarter ahead. After each quarter, there is excess inventory left which number is added to the next quarter's predicted inventory in order to calculate the upcoming period inventory.</a:t>
          </a:r>
          <a:br>
            <a:rPr lang="en-US">
              <a:effectLst/>
            </a:rPr>
          </a:br>
          <a:endParaRPr lang="en-US">
            <a:effectLst/>
          </a:endParaRPr>
        </a:p>
        <a:p>
          <a:r>
            <a:rPr lang="en-US" sz="1100" b="1" i="0">
              <a:solidFill>
                <a:schemeClr val="dk1"/>
              </a:solidFill>
              <a:effectLst/>
              <a:latin typeface="+mn-lt"/>
              <a:ea typeface="+mn-ea"/>
              <a:cs typeface="+mn-cs"/>
            </a:rPr>
            <a:t>Pallets</a:t>
          </a:r>
          <a:endParaRPr lang="en-US">
            <a:effectLst/>
          </a:endParaRPr>
        </a:p>
        <a:p>
          <a:r>
            <a:rPr lang="en-US" sz="1100" b="1" i="0">
              <a:solidFill>
                <a:schemeClr val="dk1"/>
              </a:solidFill>
              <a:effectLst/>
              <a:latin typeface="+mn-lt"/>
              <a:ea typeface="+mn-ea"/>
              <a:cs typeface="+mn-cs"/>
            </a:rPr>
            <a:t>​</a:t>
          </a:r>
          <a:endParaRPr lang="en-US">
            <a:effectLst/>
          </a:endParaRPr>
        </a:p>
        <a:p>
          <a:r>
            <a:rPr lang="en-US" sz="1100">
              <a:solidFill>
                <a:schemeClr val="dk1"/>
              </a:solidFill>
              <a:effectLst/>
              <a:latin typeface="+mn-lt"/>
              <a:ea typeface="+mn-ea"/>
              <a:cs typeface="+mn-cs"/>
            </a:rPr>
            <a:t>Since the packaging size is the same for CleanCall Pro X and CleanCall plus phones, the number of pallets was not calculated separately. Each pallet holds 1920 phones and approximately 19 pallets are being less-than-truckload shipped. </a:t>
          </a:r>
          <a:endParaRPr lang="en-US">
            <a:effectLst/>
          </a:endParaRPr>
        </a:p>
        <a:p>
          <a:r>
            <a:rPr lang="en-US" sz="1100">
              <a:solidFill>
                <a:schemeClr val="dk1"/>
              </a:solidFill>
              <a:effectLst/>
              <a:latin typeface="+mn-lt"/>
              <a:ea typeface="+mn-ea"/>
              <a:cs typeface="+mn-cs"/>
            </a:rPr>
            <a:t>​</a:t>
          </a:r>
          <a:endParaRPr lang="en-US">
            <a:effectLst/>
          </a:endParaRPr>
        </a:p>
        <a:p>
          <a:br>
            <a:rPr lang="en-US"/>
          </a:br>
          <a:endParaRPr lang="en-US" sz="1100"/>
        </a:p>
        <a:p>
          <a:br>
            <a:rPr lang="en-US" sz="1100"/>
          </a:b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workbookViewId="0">
      <selection activeCell="G12" sqref="G12"/>
    </sheetView>
  </sheetViews>
  <sheetFormatPr defaultColWidth="8.81640625" defaultRowHeight="14.5" x14ac:dyDescent="0.35"/>
  <cols>
    <col min="1" max="1" width="35" bestFit="1" customWidth="1"/>
    <col min="2" max="2" width="30.81640625" customWidth="1"/>
    <col min="3" max="17" width="15.453125" customWidth="1"/>
  </cols>
  <sheetData>
    <row r="1" spans="1:18" ht="36.5" thickBot="1" x14ac:dyDescent="0.85">
      <c r="A1" s="26" t="s">
        <v>251</v>
      </c>
      <c r="B1" s="96"/>
      <c r="C1" s="96"/>
      <c r="D1" s="96"/>
      <c r="E1" s="96"/>
      <c r="F1" s="96"/>
      <c r="G1" s="96"/>
      <c r="H1" s="96"/>
      <c r="I1" s="96"/>
      <c r="J1" s="96"/>
      <c r="K1" s="96"/>
      <c r="L1" s="96"/>
      <c r="M1" s="96"/>
      <c r="N1" s="96"/>
      <c r="O1" s="96"/>
      <c r="P1" s="96"/>
      <c r="Q1" s="96"/>
      <c r="R1" s="96"/>
    </row>
    <row r="2" spans="1:18" ht="18.5" x14ac:dyDescent="0.45">
      <c r="A2" s="19"/>
      <c r="B2" s="20"/>
      <c r="C2" s="21"/>
      <c r="D2" s="21"/>
      <c r="E2" s="21"/>
      <c r="F2" s="21"/>
      <c r="G2" s="21"/>
      <c r="H2" s="21"/>
      <c r="I2" s="21"/>
      <c r="J2" s="21"/>
      <c r="K2" s="21"/>
      <c r="L2" s="21"/>
      <c r="M2" s="21"/>
      <c r="N2" s="21"/>
      <c r="O2" s="21"/>
      <c r="P2" s="21"/>
      <c r="Q2" s="22"/>
      <c r="R2" s="3"/>
    </row>
    <row r="3" spans="1:18" s="1" customFormat="1" ht="18.5" x14ac:dyDescent="0.45">
      <c r="A3" s="23" t="s">
        <v>0</v>
      </c>
      <c r="B3" s="2">
        <v>203</v>
      </c>
      <c r="C3" s="24" t="s">
        <v>1</v>
      </c>
      <c r="D3" s="233" t="s">
        <v>2</v>
      </c>
      <c r="E3" s="234"/>
      <c r="F3" s="234"/>
      <c r="G3" s="235"/>
      <c r="H3" s="24" t="s">
        <v>3</v>
      </c>
      <c r="I3" s="196"/>
      <c r="J3" s="236" t="s">
        <v>4</v>
      </c>
      <c r="K3" s="236"/>
      <c r="L3" s="236"/>
      <c r="M3" s="237"/>
      <c r="N3" s="237"/>
      <c r="O3" s="237"/>
      <c r="P3" s="237"/>
      <c r="Q3" s="238"/>
      <c r="R3" s="4"/>
    </row>
    <row r="4" spans="1:18" s="1" customFormat="1" ht="18.5" x14ac:dyDescent="0.45">
      <c r="A4" s="23" t="s">
        <v>5</v>
      </c>
      <c r="B4" s="11" t="s">
        <v>6</v>
      </c>
      <c r="C4" s="12"/>
      <c r="D4" s="12"/>
      <c r="E4" s="12"/>
      <c r="F4" s="12"/>
      <c r="G4" s="12"/>
      <c r="H4" s="12"/>
      <c r="I4" s="13"/>
      <c r="J4" s="13"/>
      <c r="K4" s="13"/>
      <c r="L4" s="13"/>
      <c r="M4" s="13"/>
      <c r="N4" s="13"/>
      <c r="O4" s="13"/>
      <c r="P4" s="13"/>
      <c r="Q4" s="10"/>
      <c r="R4" s="4"/>
    </row>
    <row r="5" spans="1:18" s="1" customFormat="1" ht="18.5" x14ac:dyDescent="0.45">
      <c r="A5" s="79"/>
      <c r="B5" s="6" t="s">
        <v>7</v>
      </c>
      <c r="C5" s="7"/>
      <c r="D5" s="7"/>
      <c r="E5" s="7"/>
      <c r="F5" s="7"/>
      <c r="G5" s="7"/>
      <c r="H5" s="8"/>
      <c r="I5" s="9"/>
      <c r="J5" s="9"/>
      <c r="K5" s="9"/>
      <c r="L5" s="9"/>
      <c r="M5" s="9"/>
      <c r="N5" s="9"/>
      <c r="O5" s="9"/>
      <c r="P5" s="9"/>
      <c r="Q5" s="10"/>
      <c r="R5" s="4"/>
    </row>
    <row r="6" spans="1:18" s="1" customFormat="1" ht="18.5" x14ac:dyDescent="0.45">
      <c r="A6" s="79"/>
      <c r="B6" s="6" t="s">
        <v>8</v>
      </c>
      <c r="C6" s="7"/>
      <c r="D6" s="7"/>
      <c r="E6" s="7"/>
      <c r="F6" s="7"/>
      <c r="G6" s="7"/>
      <c r="H6" s="8"/>
      <c r="I6" s="9"/>
      <c r="J6" s="9"/>
      <c r="K6" s="9"/>
      <c r="L6" s="9"/>
      <c r="M6" s="9"/>
      <c r="N6" s="9"/>
      <c r="O6" s="9"/>
      <c r="P6" s="9"/>
      <c r="Q6" s="10"/>
      <c r="R6" s="4"/>
    </row>
    <row r="7" spans="1:18" s="1" customFormat="1" ht="18.5" x14ac:dyDescent="0.45">
      <c r="A7" s="79"/>
      <c r="B7" s="6" t="s">
        <v>9</v>
      </c>
      <c r="C7" s="7"/>
      <c r="D7" s="7"/>
      <c r="E7" s="7"/>
      <c r="F7" s="7"/>
      <c r="G7" s="7"/>
      <c r="H7" s="8"/>
      <c r="I7" s="9"/>
      <c r="J7" s="9"/>
      <c r="K7" s="9"/>
      <c r="L7" s="9"/>
      <c r="M7" s="9"/>
      <c r="N7" s="9"/>
      <c r="O7" s="9"/>
      <c r="P7" s="9"/>
      <c r="Q7" s="10"/>
      <c r="R7" s="4"/>
    </row>
    <row r="8" spans="1:18" ht="18.5" x14ac:dyDescent="0.45">
      <c r="A8" s="5"/>
      <c r="B8" s="6"/>
      <c r="C8" s="7"/>
      <c r="D8" s="7"/>
      <c r="E8" s="7"/>
      <c r="F8" s="7"/>
      <c r="G8" s="7"/>
      <c r="H8" s="8"/>
      <c r="I8" s="9"/>
      <c r="J8" s="9"/>
      <c r="K8" s="9"/>
      <c r="L8" s="9"/>
      <c r="M8" s="9"/>
      <c r="N8" s="9"/>
      <c r="O8" s="9"/>
      <c r="P8" s="9"/>
      <c r="Q8" s="10"/>
      <c r="R8" s="96"/>
    </row>
    <row r="9" spans="1:18" ht="18.5" x14ac:dyDescent="0.45">
      <c r="A9" s="14"/>
      <c r="B9" s="15"/>
      <c r="C9" s="16"/>
      <c r="D9" s="16"/>
      <c r="E9" s="16"/>
      <c r="F9" s="16"/>
      <c r="G9" s="16"/>
      <c r="H9" s="17"/>
      <c r="I9" s="18"/>
      <c r="J9" s="18"/>
      <c r="K9" s="18"/>
      <c r="L9" s="18"/>
      <c r="M9" s="18"/>
      <c r="N9" s="18"/>
      <c r="O9" s="18"/>
      <c r="P9" s="18"/>
      <c r="Q9" s="25"/>
      <c r="R9" s="96"/>
    </row>
    <row r="12" spans="1:18" x14ac:dyDescent="0.35">
      <c r="A12" s="96" t="s">
        <v>10</v>
      </c>
      <c r="B12" s="96"/>
      <c r="C12" s="96"/>
      <c r="D12" s="96"/>
      <c r="E12" s="96"/>
      <c r="F12" s="96"/>
      <c r="G12" s="96"/>
      <c r="H12" s="96"/>
      <c r="I12" s="96"/>
      <c r="J12" s="96"/>
      <c r="K12" s="96"/>
      <c r="L12" s="96"/>
      <c r="M12" s="96"/>
      <c r="N12" s="96"/>
      <c r="O12" s="96"/>
      <c r="P12" s="96"/>
      <c r="Q12" s="96"/>
      <c r="R12" s="96"/>
    </row>
    <row r="13" spans="1:18" x14ac:dyDescent="0.35">
      <c r="A13" s="96"/>
      <c r="B13" s="97" t="s">
        <v>11</v>
      </c>
      <c r="C13" s="97" t="s">
        <v>12</v>
      </c>
      <c r="D13" s="97"/>
      <c r="E13" s="97"/>
      <c r="F13" s="97"/>
      <c r="G13" s="97"/>
      <c r="H13" s="96"/>
      <c r="I13" s="96"/>
      <c r="J13" s="96"/>
      <c r="K13" s="96"/>
      <c r="L13" s="96"/>
      <c r="M13" s="96"/>
      <c r="N13" s="96"/>
      <c r="O13" s="96"/>
      <c r="P13" s="96"/>
      <c r="Q13" s="96"/>
      <c r="R13" s="96"/>
    </row>
    <row r="14" spans="1:18" x14ac:dyDescent="0.35">
      <c r="A14" s="97" t="s">
        <v>13</v>
      </c>
      <c r="B14" s="96" t="s">
        <v>14</v>
      </c>
      <c r="C14" s="96" t="s">
        <v>15</v>
      </c>
      <c r="D14" s="96"/>
      <c r="E14" s="96"/>
      <c r="F14" s="96"/>
      <c r="G14" s="36"/>
      <c r="H14" s="36"/>
      <c r="I14" s="36"/>
      <c r="J14" s="96"/>
      <c r="K14" s="96"/>
      <c r="L14" s="96"/>
      <c r="M14" s="96"/>
      <c r="N14" s="96"/>
      <c r="O14" s="96"/>
      <c r="P14" s="96"/>
      <c r="Q14" s="96"/>
      <c r="R14" s="96"/>
    </row>
    <row r="15" spans="1:18" x14ac:dyDescent="0.35">
      <c r="A15" s="96"/>
      <c r="B15" s="96" t="s">
        <v>16</v>
      </c>
      <c r="C15" s="96" t="s">
        <v>17</v>
      </c>
      <c r="D15" s="96"/>
      <c r="E15" s="96"/>
      <c r="F15" s="96"/>
      <c r="G15" s="36"/>
      <c r="H15" s="36"/>
      <c r="I15" s="36"/>
      <c r="J15" s="96"/>
      <c r="K15" s="96"/>
      <c r="L15" s="96"/>
      <c r="M15" s="96"/>
      <c r="N15" s="96"/>
      <c r="O15" s="96"/>
      <c r="P15" s="96"/>
      <c r="Q15" s="96"/>
      <c r="R15" s="96"/>
    </row>
    <row r="17" spans="1:3" x14ac:dyDescent="0.35">
      <c r="A17" s="96"/>
      <c r="B17" s="97" t="s">
        <v>18</v>
      </c>
      <c r="C17" s="96"/>
    </row>
    <row r="18" spans="1:3" x14ac:dyDescent="0.35">
      <c r="A18" s="96"/>
      <c r="B18" s="96" t="s">
        <v>19</v>
      </c>
      <c r="C18" s="87">
        <v>670</v>
      </c>
    </row>
    <row r="19" spans="1:3" x14ac:dyDescent="0.35">
      <c r="A19" s="96"/>
      <c r="B19" s="96" t="s">
        <v>20</v>
      </c>
      <c r="C19" s="87">
        <v>470</v>
      </c>
    </row>
    <row r="20" spans="1:3" x14ac:dyDescent="0.35">
      <c r="A20" s="96"/>
      <c r="B20" s="96"/>
      <c r="C20" s="96"/>
    </row>
    <row r="21" spans="1:3" x14ac:dyDescent="0.35">
      <c r="A21" s="96"/>
      <c r="B21" s="96" t="s">
        <v>21</v>
      </c>
      <c r="C21" s="96"/>
    </row>
    <row r="22" spans="1:3" x14ac:dyDescent="0.35">
      <c r="A22" s="96"/>
      <c r="B22" s="96" t="s">
        <v>22</v>
      </c>
      <c r="C22" s="96"/>
    </row>
    <row r="23" spans="1:3" x14ac:dyDescent="0.35">
      <c r="A23" s="96"/>
      <c r="B23" s="96"/>
      <c r="C23" s="96"/>
    </row>
    <row r="24" spans="1:3" x14ac:dyDescent="0.35">
      <c r="A24" s="96"/>
      <c r="B24" s="97" t="s">
        <v>23</v>
      </c>
      <c r="C24" s="96"/>
    </row>
    <row r="25" spans="1:3" x14ac:dyDescent="0.35">
      <c r="A25" s="96"/>
      <c r="B25" s="96" t="s">
        <v>19</v>
      </c>
      <c r="C25" s="91">
        <v>283.5</v>
      </c>
    </row>
    <row r="26" spans="1:3" x14ac:dyDescent="0.35">
      <c r="A26" s="96"/>
      <c r="B26" s="96" t="s">
        <v>20</v>
      </c>
      <c r="C26" s="91">
        <v>220.5</v>
      </c>
    </row>
    <row r="27" spans="1:3" x14ac:dyDescent="0.35">
      <c r="A27" s="97"/>
      <c r="B27" s="96"/>
      <c r="C27" s="96"/>
    </row>
    <row r="28" spans="1:3" x14ac:dyDescent="0.35">
      <c r="A28" s="96"/>
      <c r="B28" s="96"/>
      <c r="C28" s="96"/>
    </row>
    <row r="30" spans="1:3" x14ac:dyDescent="0.35">
      <c r="A30" s="97" t="s">
        <v>24</v>
      </c>
      <c r="B30" s="97" t="s">
        <v>25</v>
      </c>
      <c r="C30" s="96"/>
    </row>
    <row r="31" spans="1:3" x14ac:dyDescent="0.35">
      <c r="A31" s="96"/>
      <c r="B31" s="96" t="s">
        <v>26</v>
      </c>
      <c r="C31" s="90">
        <v>3</v>
      </c>
    </row>
    <row r="32" spans="1:3" x14ac:dyDescent="0.35">
      <c r="A32" s="96"/>
      <c r="B32" s="96" t="s">
        <v>27</v>
      </c>
      <c r="C32" s="90">
        <v>2</v>
      </c>
    </row>
    <row r="33" spans="2:3" x14ac:dyDescent="0.35">
      <c r="B33" s="96"/>
      <c r="C33" s="96"/>
    </row>
    <row r="34" spans="2:3" x14ac:dyDescent="0.35">
      <c r="B34" s="96"/>
      <c r="C34" s="96"/>
    </row>
    <row r="35" spans="2:3" x14ac:dyDescent="0.35">
      <c r="B35" s="97" t="s">
        <v>28</v>
      </c>
      <c r="C35" s="96"/>
    </row>
    <row r="36" spans="2:3" x14ac:dyDescent="0.35">
      <c r="B36" s="96"/>
      <c r="C36" s="87"/>
    </row>
    <row r="37" spans="2:3" x14ac:dyDescent="0.35">
      <c r="B37" s="96"/>
      <c r="C37" s="96"/>
    </row>
    <row r="46" spans="2:3" x14ac:dyDescent="0.35">
      <c r="B46" s="97" t="s">
        <v>29</v>
      </c>
      <c r="C46" s="96"/>
    </row>
    <row r="47" spans="2:3" x14ac:dyDescent="0.35">
      <c r="B47" s="96" t="s">
        <v>30</v>
      </c>
      <c r="C47" s="87">
        <v>3200</v>
      </c>
    </row>
    <row r="48" spans="2:3" x14ac:dyDescent="0.35">
      <c r="B48" s="96" t="s">
        <v>31</v>
      </c>
      <c r="C48" s="87">
        <v>1700</v>
      </c>
    </row>
    <row r="51" spans="2:3" x14ac:dyDescent="0.35">
      <c r="B51" s="88" t="s">
        <v>32</v>
      </c>
      <c r="C51" s="89">
        <f>SUM(C47:C48)</f>
        <v>4900</v>
      </c>
    </row>
  </sheetData>
  <mergeCells count="2">
    <mergeCell ref="D3:G3"/>
    <mergeCell ref="J3:Q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H42"/>
  <sheetViews>
    <sheetView topLeftCell="A4" zoomScale="68" zoomScaleNormal="100" workbookViewId="0">
      <selection activeCell="H15" sqref="H15"/>
    </sheetView>
  </sheetViews>
  <sheetFormatPr defaultColWidth="8.81640625" defaultRowHeight="19.25" customHeight="1" x14ac:dyDescent="0.35"/>
  <cols>
    <col min="1" max="1" width="33.453125" style="45" bestFit="1" customWidth="1"/>
    <col min="2" max="2" width="8.81640625" style="45"/>
    <col min="3" max="4" width="17.1796875" style="45" customWidth="1"/>
    <col min="5" max="5" width="19.54296875" style="45" customWidth="1"/>
    <col min="6" max="6" width="20.81640625" style="45" customWidth="1"/>
    <col min="7" max="8" width="8.81640625" style="45"/>
    <col min="9" max="9" width="12.453125" style="45" bestFit="1" customWidth="1"/>
    <col min="10" max="10" width="13" style="45" bestFit="1" customWidth="1"/>
    <col min="11" max="12" width="14.54296875" style="45" customWidth="1"/>
    <col min="13" max="16384" width="8.81640625" style="45"/>
  </cols>
  <sheetData>
    <row r="4" spans="1:8" ht="37.25" customHeight="1" x14ac:dyDescent="0.8">
      <c r="A4" s="69" t="s">
        <v>113</v>
      </c>
    </row>
    <row r="5" spans="1:8" ht="19.25" customHeight="1" thickBot="1" x14ac:dyDescent="0.4"/>
    <row r="6" spans="1:8" s="77" customFormat="1" ht="19.25" customHeight="1" thickBot="1" x14ac:dyDescent="0.5">
      <c r="A6" s="190" t="s">
        <v>114</v>
      </c>
      <c r="B6" s="191"/>
      <c r="C6" s="192" t="s">
        <v>115</v>
      </c>
      <c r="D6" s="193" t="s">
        <v>116</v>
      </c>
      <c r="E6" s="193" t="s">
        <v>117</v>
      </c>
      <c r="F6" s="194" t="s">
        <v>118</v>
      </c>
    </row>
    <row r="7" spans="1:8" ht="19.25" customHeight="1" x14ac:dyDescent="0.45">
      <c r="A7" s="187" t="s">
        <v>119</v>
      </c>
      <c r="B7" s="188"/>
      <c r="C7" s="189"/>
      <c r="D7" s="189"/>
      <c r="E7" s="189"/>
      <c r="F7" s="189"/>
      <c r="G7" s="84"/>
      <c r="H7" s="84"/>
    </row>
    <row r="8" spans="1:8" ht="19.25" customHeight="1" x14ac:dyDescent="0.45">
      <c r="A8" s="184" t="s">
        <v>120</v>
      </c>
      <c r="B8" s="182"/>
      <c r="C8" s="180">
        <v>6000000</v>
      </c>
      <c r="D8" s="180">
        <f>'Cash Flow statement'!C34+C8</f>
        <v>42253148.100000001</v>
      </c>
      <c r="E8" s="180">
        <f>'Cash Flow statement'!D34</f>
        <v>59628165.400000006</v>
      </c>
      <c r="F8" s="180">
        <f>'Cash Flow statement'!E34</f>
        <v>85092643.400000006</v>
      </c>
      <c r="G8" s="240"/>
      <c r="H8" s="240"/>
    </row>
    <row r="9" spans="1:8" ht="19.25" customHeight="1" x14ac:dyDescent="0.45">
      <c r="A9" s="184" t="s">
        <v>121</v>
      </c>
      <c r="B9" s="182"/>
      <c r="C9" s="180"/>
      <c r="D9" s="180">
        <f>'Cash Flow statement'!C10</f>
        <v>10076400</v>
      </c>
      <c r="E9" s="180">
        <f>'Cash Flow statement'!D10</f>
        <v>10507500</v>
      </c>
      <c r="F9" s="180">
        <f>'Cash Flow statement'!E10</f>
        <v>12200000</v>
      </c>
      <c r="G9" s="240"/>
      <c r="H9" s="240"/>
    </row>
    <row r="10" spans="1:8" ht="19.25" customHeight="1" x14ac:dyDescent="0.45">
      <c r="A10" s="184" t="s">
        <v>122</v>
      </c>
      <c r="B10" s="182"/>
      <c r="C10" s="182"/>
      <c r="D10" s="183">
        <f>'Cash Flow statement'!C11</f>
        <v>2731837.5</v>
      </c>
      <c r="E10" s="183">
        <f>'Cash Flow statement'!D11</f>
        <v>2279812.5</v>
      </c>
      <c r="F10" s="183">
        <f>'Cash Flow statement'!E11</f>
        <v>1984500</v>
      </c>
      <c r="G10" s="84"/>
      <c r="H10" s="84"/>
    </row>
    <row r="11" spans="1:8" ht="19.25" customHeight="1" x14ac:dyDescent="0.45">
      <c r="A11" s="181" t="s">
        <v>123</v>
      </c>
      <c r="B11" s="182"/>
      <c r="C11" s="183"/>
      <c r="D11" s="183"/>
      <c r="E11" s="183"/>
      <c r="F11" s="183"/>
      <c r="G11" s="84"/>
      <c r="H11" s="84"/>
    </row>
    <row r="12" spans="1:8" ht="19.25" customHeight="1" x14ac:dyDescent="0.45">
      <c r="A12" s="184" t="s">
        <v>248</v>
      </c>
      <c r="B12" s="182"/>
      <c r="C12" s="229"/>
      <c r="D12" s="230">
        <f>'Income Statement'!E14</f>
        <v>12600</v>
      </c>
      <c r="E12" s="230">
        <f>'Income Statement'!F14+D12</f>
        <v>13200</v>
      </c>
      <c r="F12" s="230">
        <f>'Income Statement'!G14+E12</f>
        <v>15600</v>
      </c>
      <c r="G12" s="84"/>
      <c r="H12" s="84"/>
    </row>
    <row r="13" spans="1:8" ht="19.25" customHeight="1" x14ac:dyDescent="0.45">
      <c r="A13" s="184" t="s">
        <v>124</v>
      </c>
      <c r="B13" s="182"/>
      <c r="C13" s="221"/>
      <c r="D13" s="228">
        <f>'Cash Flow statement'!C9</f>
        <v>4158</v>
      </c>
      <c r="E13" s="228">
        <f>'Cash Flow statement'!D9</f>
        <v>4356</v>
      </c>
      <c r="F13" s="228">
        <f>'Cash Flow statement'!E9</f>
        <v>5148</v>
      </c>
      <c r="G13" s="84"/>
      <c r="H13" s="84"/>
    </row>
    <row r="14" spans="1:8" ht="19.25" customHeight="1" x14ac:dyDescent="0.45">
      <c r="A14" s="181" t="s">
        <v>125</v>
      </c>
      <c r="B14" s="182"/>
      <c r="C14" s="221"/>
      <c r="D14" s="183">
        <f>D12-D13</f>
        <v>8442</v>
      </c>
      <c r="E14" s="183">
        <f t="shared" ref="E14:F14" si="0">E12-E13</f>
        <v>8844</v>
      </c>
      <c r="F14" s="183">
        <f t="shared" si="0"/>
        <v>10452</v>
      </c>
      <c r="G14" s="84"/>
      <c r="H14" s="84"/>
    </row>
    <row r="15" spans="1:8" ht="19.25" customHeight="1" x14ac:dyDescent="0.35">
      <c r="A15" s="182"/>
      <c r="B15" s="182"/>
      <c r="C15" s="183"/>
      <c r="D15" s="183"/>
      <c r="E15" s="183"/>
      <c r="F15" s="183"/>
      <c r="G15" s="84"/>
      <c r="H15" s="84"/>
    </row>
    <row r="16" spans="1:8" ht="19.25" customHeight="1" x14ac:dyDescent="0.35">
      <c r="A16" s="182"/>
      <c r="B16" s="182"/>
      <c r="C16" s="183"/>
      <c r="D16" s="183"/>
      <c r="E16" s="183"/>
      <c r="F16" s="183"/>
      <c r="G16" s="84"/>
      <c r="H16" s="84"/>
    </row>
    <row r="17" spans="1:8" ht="19.25" customHeight="1" x14ac:dyDescent="0.35">
      <c r="A17" s="182"/>
      <c r="B17" s="182"/>
      <c r="C17" s="183"/>
      <c r="D17" s="183"/>
      <c r="E17" s="183"/>
      <c r="F17" s="183"/>
      <c r="G17" s="84"/>
      <c r="H17" s="84"/>
    </row>
    <row r="18" spans="1:8" ht="19.25" customHeight="1" x14ac:dyDescent="0.35">
      <c r="A18" s="182"/>
      <c r="B18" s="182"/>
      <c r="C18" s="183"/>
      <c r="D18" s="183"/>
      <c r="E18" s="183"/>
      <c r="F18" s="183"/>
      <c r="G18" s="84"/>
      <c r="H18" s="84"/>
    </row>
    <row r="19" spans="1:8" ht="19.25" customHeight="1" x14ac:dyDescent="0.45">
      <c r="A19" s="195" t="s">
        <v>126</v>
      </c>
      <c r="B19" s="182"/>
      <c r="C19" s="185">
        <f>C8+C9+C10+C14</f>
        <v>6000000</v>
      </c>
      <c r="D19" s="185">
        <f t="shared" ref="D19:F19" si="1">D8+D9+D10+D14</f>
        <v>55069827.600000001</v>
      </c>
      <c r="E19" s="185">
        <f t="shared" si="1"/>
        <v>72424321.900000006</v>
      </c>
      <c r="F19" s="185">
        <f t="shared" si="1"/>
        <v>99287595.400000006</v>
      </c>
      <c r="G19" s="84"/>
      <c r="H19" s="84"/>
    </row>
    <row r="20" spans="1:8" ht="19.25" customHeight="1" x14ac:dyDescent="0.45">
      <c r="A20" s="181" t="s">
        <v>127</v>
      </c>
      <c r="B20" s="182"/>
      <c r="C20" s="183"/>
      <c r="D20" s="183"/>
      <c r="E20" s="183"/>
      <c r="F20" s="183"/>
      <c r="G20" s="84"/>
      <c r="H20" s="84"/>
    </row>
    <row r="21" spans="1:8" ht="19.25" customHeight="1" x14ac:dyDescent="0.45">
      <c r="A21" s="231" t="s">
        <v>128</v>
      </c>
      <c r="B21" s="182"/>
      <c r="C21" s="183"/>
      <c r="D21" s="182"/>
      <c r="E21" s="183"/>
      <c r="F21" s="183"/>
      <c r="G21" s="84"/>
      <c r="H21" s="84"/>
    </row>
    <row r="22" spans="1:8" ht="19.25" customHeight="1" x14ac:dyDescent="0.45">
      <c r="A22" s="184" t="s">
        <v>129</v>
      </c>
      <c r="B22" s="182"/>
      <c r="C22" s="183"/>
      <c r="D22" s="232" t="str">
        <f>'Cash Flow statement'!C12</f>
        <v>-</v>
      </c>
      <c r="E22" s="232" t="str">
        <f>'Cash Flow statement'!D12</f>
        <v>-</v>
      </c>
      <c r="F22" s="232" t="str">
        <f>'Cash Flow statement'!E12</f>
        <v>-</v>
      </c>
      <c r="G22" s="84"/>
      <c r="H22" s="84"/>
    </row>
    <row r="23" spans="1:8" ht="19.25" customHeight="1" x14ac:dyDescent="0.45">
      <c r="A23" s="184" t="s">
        <v>130</v>
      </c>
      <c r="B23" s="182"/>
      <c r="C23" s="183"/>
      <c r="D23" s="232" t="s">
        <v>159</v>
      </c>
      <c r="E23" s="232" t="s">
        <v>159</v>
      </c>
      <c r="F23" s="232" t="s">
        <v>159</v>
      </c>
      <c r="G23" s="84"/>
      <c r="H23" s="84"/>
    </row>
    <row r="24" spans="1:8" ht="19.25" customHeight="1" x14ac:dyDescent="0.45">
      <c r="A24" s="184" t="s">
        <v>131</v>
      </c>
      <c r="B24" s="182"/>
      <c r="C24" s="183"/>
      <c r="D24" s="232" t="s">
        <v>159</v>
      </c>
      <c r="E24" s="232" t="s">
        <v>159</v>
      </c>
      <c r="F24" s="232" t="s">
        <v>159</v>
      </c>
      <c r="G24" s="84"/>
      <c r="H24" s="84"/>
    </row>
    <row r="25" spans="1:8" ht="19.25" customHeight="1" x14ac:dyDescent="0.45">
      <c r="A25" s="184" t="s">
        <v>132</v>
      </c>
      <c r="B25" s="182"/>
      <c r="C25" s="182"/>
      <c r="D25" s="183">
        <f>'Income Statement'!E16</f>
        <v>4931997.2</v>
      </c>
      <c r="E25" s="183">
        <f>'Income Statement'!F16</f>
        <v>5131926.6000000015</v>
      </c>
      <c r="F25" s="183">
        <f>'Income Statement'!G16</f>
        <v>5551923.5</v>
      </c>
      <c r="G25" s="84"/>
      <c r="H25" s="84"/>
    </row>
    <row r="26" spans="1:8" ht="19.25" customHeight="1" x14ac:dyDescent="0.45">
      <c r="A26" s="184" t="s">
        <v>133</v>
      </c>
      <c r="B26" s="182"/>
      <c r="C26" s="183"/>
      <c r="D26" s="232" t="s">
        <v>159</v>
      </c>
      <c r="E26" s="232" t="s">
        <v>159</v>
      </c>
      <c r="F26" s="232" t="s">
        <v>159</v>
      </c>
      <c r="G26" s="84"/>
      <c r="H26" s="84"/>
    </row>
    <row r="27" spans="1:8" ht="19.25" customHeight="1" x14ac:dyDescent="0.45">
      <c r="A27" s="184"/>
      <c r="B27" s="182"/>
      <c r="C27" s="183"/>
      <c r="D27" s="183"/>
      <c r="E27" s="183"/>
      <c r="F27" s="183"/>
      <c r="G27" s="84"/>
      <c r="H27" s="84"/>
    </row>
    <row r="28" spans="1:8" ht="19.25" customHeight="1" x14ac:dyDescent="0.45">
      <c r="A28" s="184"/>
      <c r="B28" s="182"/>
      <c r="C28" s="183"/>
      <c r="D28" s="183"/>
      <c r="E28" s="183"/>
      <c r="F28" s="183"/>
      <c r="G28" s="84"/>
      <c r="H28" s="84"/>
    </row>
    <row r="29" spans="1:8" ht="19.25" customHeight="1" x14ac:dyDescent="0.45">
      <c r="A29" s="184"/>
      <c r="B29" s="182"/>
      <c r="C29" s="183"/>
      <c r="D29" s="183"/>
      <c r="E29" s="183"/>
      <c r="F29" s="183"/>
      <c r="G29" s="84"/>
      <c r="H29" s="84"/>
    </row>
    <row r="30" spans="1:8" ht="19.25" customHeight="1" x14ac:dyDescent="0.45">
      <c r="A30" s="195" t="s">
        <v>134</v>
      </c>
      <c r="B30" s="182"/>
      <c r="C30" s="183">
        <f>SUM(C23:C26)</f>
        <v>0</v>
      </c>
      <c r="D30" s="183">
        <f>SUM(D22:D26)</f>
        <v>4931997.2</v>
      </c>
      <c r="E30" s="183">
        <f t="shared" ref="E30:F30" si="2">SUM(E22:E26)</f>
        <v>5131926.6000000015</v>
      </c>
      <c r="F30" s="183">
        <f t="shared" si="2"/>
        <v>5551923.5</v>
      </c>
      <c r="G30" s="84"/>
      <c r="H30" s="84"/>
    </row>
    <row r="31" spans="1:8" ht="19.25" customHeight="1" x14ac:dyDescent="0.45">
      <c r="A31" s="184"/>
      <c r="B31" s="182"/>
      <c r="C31" s="183"/>
      <c r="D31" s="183"/>
      <c r="E31" s="183"/>
      <c r="F31" s="183"/>
      <c r="G31" s="84"/>
      <c r="H31" s="84"/>
    </row>
    <row r="32" spans="1:8" ht="19.25" customHeight="1" x14ac:dyDescent="0.45">
      <c r="A32" s="181" t="s">
        <v>135</v>
      </c>
      <c r="B32" s="182"/>
      <c r="C32" s="183"/>
      <c r="D32" s="183"/>
      <c r="E32" s="183"/>
      <c r="F32" s="183"/>
      <c r="G32" s="84"/>
      <c r="H32" s="84"/>
    </row>
    <row r="33" spans="1:8" ht="19.25" customHeight="1" x14ac:dyDescent="0.45">
      <c r="A33" s="184" t="s">
        <v>136</v>
      </c>
      <c r="B33" s="182"/>
      <c r="C33" s="183"/>
      <c r="D33" s="183">
        <v>6000000</v>
      </c>
      <c r="E33" s="183"/>
      <c r="F33" s="183"/>
      <c r="G33" s="84"/>
      <c r="H33" s="84"/>
    </row>
    <row r="34" spans="1:8" ht="19.25" customHeight="1" x14ac:dyDescent="0.45">
      <c r="A34" s="184" t="s">
        <v>137</v>
      </c>
      <c r="B34" s="182"/>
      <c r="C34" s="183"/>
      <c r="D34" s="183"/>
      <c r="E34" s="183"/>
      <c r="F34" s="183"/>
      <c r="G34" s="84"/>
      <c r="H34" s="84"/>
    </row>
    <row r="35" spans="1:8" ht="19.25" customHeight="1" x14ac:dyDescent="0.45">
      <c r="A35" s="184" t="s">
        <v>138</v>
      </c>
      <c r="B35" s="182"/>
      <c r="C35" s="183">
        <v>6000000</v>
      </c>
      <c r="D35" s="183">
        <f>D19-D30-D33</f>
        <v>44137830.399999999</v>
      </c>
      <c r="E35" s="186">
        <f>E19-E30-E33</f>
        <v>67292395.300000012</v>
      </c>
      <c r="F35" s="183">
        <f t="shared" ref="F35" si="3">F19-F30-F33</f>
        <v>93735671.900000006</v>
      </c>
      <c r="G35" s="84"/>
      <c r="H35" s="84"/>
    </row>
    <row r="36" spans="1:8" ht="19.25" customHeight="1" x14ac:dyDescent="0.45">
      <c r="A36" s="184" t="s">
        <v>139</v>
      </c>
      <c r="B36" s="182"/>
      <c r="C36" s="183"/>
      <c r="D36" s="232" t="s">
        <v>159</v>
      </c>
      <c r="E36" s="232" t="s">
        <v>159</v>
      </c>
      <c r="F36" s="232" t="s">
        <v>159</v>
      </c>
      <c r="G36" s="84"/>
      <c r="H36" s="84"/>
    </row>
    <row r="37" spans="1:8" ht="19.25" customHeight="1" x14ac:dyDescent="0.45">
      <c r="A37" s="195" t="s">
        <v>140</v>
      </c>
      <c r="B37" s="182"/>
      <c r="C37" s="183">
        <f>C33+C35</f>
        <v>6000000</v>
      </c>
      <c r="D37" s="183">
        <f t="shared" ref="D37:F37" si="4">D33+D35</f>
        <v>50137830.399999999</v>
      </c>
      <c r="E37" s="183">
        <f t="shared" si="4"/>
        <v>67292395.300000012</v>
      </c>
      <c r="F37" s="183">
        <f t="shared" si="4"/>
        <v>93735671.900000006</v>
      </c>
      <c r="G37" s="84"/>
      <c r="H37" s="84"/>
    </row>
    <row r="38" spans="1:8" ht="19.25" customHeight="1" x14ac:dyDescent="0.45">
      <c r="A38" s="184"/>
      <c r="B38" s="182"/>
      <c r="C38" s="183"/>
      <c r="D38" s="183"/>
      <c r="E38" s="183"/>
      <c r="F38" s="183"/>
      <c r="G38" s="84"/>
      <c r="H38" s="84"/>
    </row>
    <row r="39" spans="1:8" ht="19.25" customHeight="1" x14ac:dyDescent="0.45">
      <c r="A39" s="195" t="s">
        <v>141</v>
      </c>
      <c r="B39" s="182"/>
      <c r="C39" s="185">
        <f>C37+C30</f>
        <v>6000000</v>
      </c>
      <c r="D39" s="185">
        <f t="shared" ref="D39:F39" si="5">D37+D30</f>
        <v>55069827.600000001</v>
      </c>
      <c r="E39" s="185">
        <f t="shared" si="5"/>
        <v>72424321.900000006</v>
      </c>
      <c r="F39" s="185">
        <f t="shared" si="5"/>
        <v>99287595.400000006</v>
      </c>
      <c r="G39" s="84"/>
      <c r="H39" s="84"/>
    </row>
    <row r="40" spans="1:8" ht="19.25" customHeight="1" x14ac:dyDescent="0.35">
      <c r="C40" s="84"/>
      <c r="D40" s="84"/>
      <c r="E40" s="84"/>
      <c r="F40" s="84"/>
      <c r="G40" s="84"/>
      <c r="H40" s="84"/>
    </row>
    <row r="41" spans="1:8" ht="19.25" customHeight="1" x14ac:dyDescent="0.35">
      <c r="C41" s="84"/>
      <c r="D41" s="84"/>
      <c r="E41" s="84"/>
      <c r="F41" s="84"/>
      <c r="G41" s="84"/>
      <c r="H41" s="84"/>
    </row>
    <row r="42" spans="1:8" ht="19.25" customHeight="1" x14ac:dyDescent="0.35">
      <c r="C42" s="84"/>
      <c r="D42" s="84"/>
      <c r="E42" s="84"/>
      <c r="F42" s="84"/>
      <c r="G42" s="84"/>
      <c r="H42" s="84"/>
    </row>
  </sheetData>
  <mergeCells count="1">
    <mergeCell ref="G8:H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5"/>
  <sheetViews>
    <sheetView zoomScale="66" workbookViewId="0">
      <selection activeCell="H16" sqref="H16"/>
    </sheetView>
  </sheetViews>
  <sheetFormatPr defaultRowHeight="14.5" x14ac:dyDescent="0.35"/>
  <cols>
    <col min="1" max="1" width="21.81640625" customWidth="1"/>
    <col min="2" max="12" width="14.54296875" customWidth="1"/>
    <col min="13" max="13" width="17.453125" customWidth="1"/>
    <col min="14" max="14" width="18.1796875" customWidth="1"/>
    <col min="15" max="15" width="17.1796875" customWidth="1"/>
  </cols>
  <sheetData>
    <row r="1" spans="1:16" ht="36" x14ac:dyDescent="0.8">
      <c r="A1" s="114" t="s">
        <v>164</v>
      </c>
      <c r="B1" s="97"/>
      <c r="C1" s="3"/>
      <c r="D1" s="115"/>
      <c r="E1" s="3"/>
      <c r="F1" s="3"/>
      <c r="G1" s="3">
        <v>0.7</v>
      </c>
      <c r="H1" s="3">
        <v>0.3</v>
      </c>
      <c r="I1" s="3"/>
      <c r="J1" s="3"/>
      <c r="K1" s="3"/>
      <c r="L1" s="3"/>
      <c r="M1" s="96"/>
      <c r="N1" s="96"/>
      <c r="O1" s="96"/>
      <c r="P1" s="96"/>
    </row>
    <row r="2" spans="1:16" ht="18.5" x14ac:dyDescent="0.45">
      <c r="A2" s="98"/>
      <c r="B2" s="97"/>
      <c r="C2" s="3"/>
      <c r="D2" s="3"/>
      <c r="E2" s="3"/>
      <c r="F2" s="3"/>
      <c r="G2" s="3"/>
      <c r="H2" s="3"/>
      <c r="I2" s="3"/>
      <c r="J2" s="3"/>
      <c r="K2" s="3"/>
      <c r="L2" s="3"/>
      <c r="M2" s="96"/>
      <c r="N2" s="96"/>
      <c r="O2" s="96"/>
      <c r="P2" s="96"/>
    </row>
    <row r="3" spans="1:16" ht="18.5" x14ac:dyDescent="0.45">
      <c r="A3" s="98"/>
      <c r="B3" s="2" t="s">
        <v>33</v>
      </c>
      <c r="C3" s="196" t="s">
        <v>34</v>
      </c>
      <c r="D3" s="196" t="s">
        <v>35</v>
      </c>
      <c r="E3" s="196" t="s">
        <v>36</v>
      </c>
      <c r="F3" s="196" t="s">
        <v>37</v>
      </c>
      <c r="G3" s="196" t="s">
        <v>38</v>
      </c>
      <c r="H3" s="196" t="s">
        <v>39</v>
      </c>
      <c r="I3" s="196" t="s">
        <v>40</v>
      </c>
      <c r="J3" s="196" t="s">
        <v>41</v>
      </c>
      <c r="K3" s="196" t="s">
        <v>42</v>
      </c>
      <c r="L3" s="196" t="s">
        <v>43</v>
      </c>
      <c r="M3" s="196" t="s">
        <v>44</v>
      </c>
      <c r="N3" s="196" t="s">
        <v>45</v>
      </c>
      <c r="O3" s="196" t="s">
        <v>46</v>
      </c>
      <c r="P3" s="96"/>
    </row>
    <row r="4" spans="1:16" ht="18.5" x14ac:dyDescent="0.45">
      <c r="A4" s="98" t="s">
        <v>19</v>
      </c>
      <c r="B4" s="116" t="s">
        <v>47</v>
      </c>
      <c r="C4" s="117">
        <v>670</v>
      </c>
      <c r="D4" s="3"/>
      <c r="E4" s="3"/>
      <c r="F4" s="3"/>
      <c r="G4" s="3"/>
      <c r="H4" s="3"/>
      <c r="I4" s="3"/>
      <c r="J4" s="3"/>
      <c r="K4" s="3"/>
      <c r="L4" s="3"/>
      <c r="M4" s="96"/>
      <c r="N4" s="96"/>
      <c r="O4" s="96"/>
      <c r="P4" s="96"/>
    </row>
    <row r="5" spans="1:16" ht="18.5" x14ac:dyDescent="0.45">
      <c r="A5" s="98" t="s">
        <v>165</v>
      </c>
      <c r="B5" s="118" t="s">
        <v>166</v>
      </c>
      <c r="C5" s="119">
        <v>283.5</v>
      </c>
      <c r="D5" s="3"/>
      <c r="E5" s="3"/>
      <c r="F5" s="3"/>
      <c r="G5" s="3"/>
      <c r="H5" s="3"/>
      <c r="I5" s="3"/>
      <c r="J5" s="3"/>
      <c r="K5" s="3"/>
      <c r="L5" s="3"/>
      <c r="M5" s="96"/>
      <c r="N5" s="96"/>
      <c r="O5" s="96"/>
      <c r="P5" s="96"/>
    </row>
    <row r="6" spans="1:16" ht="18.5" x14ac:dyDescent="0.45">
      <c r="A6" s="98"/>
      <c r="B6" s="97"/>
      <c r="C6" s="97"/>
      <c r="D6" s="3"/>
      <c r="E6" s="3"/>
      <c r="F6" s="3"/>
      <c r="G6" s="3"/>
      <c r="H6" s="3"/>
      <c r="I6" s="3"/>
      <c r="J6" s="3"/>
      <c r="K6" s="3"/>
      <c r="L6" s="3"/>
      <c r="M6" s="96"/>
      <c r="N6" s="96"/>
      <c r="O6" s="96"/>
      <c r="P6" s="96"/>
    </row>
    <row r="7" spans="1:16" ht="18.5" x14ac:dyDescent="0.45">
      <c r="A7" s="98"/>
      <c r="B7" s="2" t="s">
        <v>48</v>
      </c>
      <c r="C7" s="108" t="s">
        <v>49</v>
      </c>
      <c r="D7" s="59"/>
      <c r="E7" s="59">
        <v>21000</v>
      </c>
      <c r="F7" s="59">
        <v>23100</v>
      </c>
      <c r="G7" s="59">
        <v>28900</v>
      </c>
      <c r="H7" s="59">
        <v>22000</v>
      </c>
      <c r="I7" s="59">
        <v>23000</v>
      </c>
      <c r="J7" s="59">
        <v>24000</v>
      </c>
      <c r="K7" s="59">
        <v>30000</v>
      </c>
      <c r="L7" s="59">
        <v>24000</v>
      </c>
      <c r="M7" s="59">
        <v>24000</v>
      </c>
      <c r="N7" s="59">
        <v>26250</v>
      </c>
      <c r="O7" s="59">
        <v>35000</v>
      </c>
      <c r="P7" s="96"/>
    </row>
    <row r="8" spans="1:16" ht="18.5" x14ac:dyDescent="0.45">
      <c r="A8" s="122"/>
      <c r="B8" s="123"/>
      <c r="C8" s="124" t="s">
        <v>50</v>
      </c>
      <c r="D8" s="125">
        <f>D7*$C$4</f>
        <v>0</v>
      </c>
      <c r="E8" s="125">
        <f t="shared" ref="E8:O8" si="0">E7*$C$4</f>
        <v>14070000</v>
      </c>
      <c r="F8" s="125">
        <f t="shared" si="0"/>
        <v>15477000</v>
      </c>
      <c r="G8" s="125">
        <f t="shared" si="0"/>
        <v>19363000</v>
      </c>
      <c r="H8" s="125">
        <f t="shared" si="0"/>
        <v>14740000</v>
      </c>
      <c r="I8" s="125">
        <f t="shared" si="0"/>
        <v>15410000</v>
      </c>
      <c r="J8" s="125">
        <f t="shared" si="0"/>
        <v>16080000</v>
      </c>
      <c r="K8" s="125">
        <f t="shared" si="0"/>
        <v>20100000</v>
      </c>
      <c r="L8" s="125">
        <f t="shared" si="0"/>
        <v>16080000</v>
      </c>
      <c r="M8" s="125">
        <f t="shared" si="0"/>
        <v>16080000</v>
      </c>
      <c r="N8" s="125">
        <f t="shared" si="0"/>
        <v>17587500</v>
      </c>
      <c r="O8" s="125">
        <f t="shared" si="0"/>
        <v>23450000</v>
      </c>
      <c r="P8" s="96"/>
    </row>
    <row r="9" spans="1:16" ht="18.5" x14ac:dyDescent="0.45">
      <c r="A9" s="122"/>
      <c r="B9" s="126"/>
      <c r="C9" s="127"/>
      <c r="D9" s="111"/>
      <c r="E9" s="111"/>
      <c r="F9" s="111"/>
      <c r="G9" s="111"/>
      <c r="H9" s="112"/>
      <c r="I9" s="112"/>
      <c r="J9" s="111"/>
      <c r="K9" s="111"/>
      <c r="L9" s="111"/>
      <c r="M9" s="96"/>
      <c r="N9" s="96"/>
      <c r="O9" s="96"/>
      <c r="P9" s="96"/>
    </row>
    <row r="10" spans="1:16" ht="18.5" x14ac:dyDescent="0.45">
      <c r="A10" s="98"/>
      <c r="B10" s="2" t="s">
        <v>167</v>
      </c>
      <c r="C10" s="108" t="s">
        <v>49</v>
      </c>
      <c r="D10" s="109"/>
      <c r="E10" s="147">
        <v>26250</v>
      </c>
      <c r="F10" s="147">
        <v>28875</v>
      </c>
      <c r="G10" s="147">
        <v>36125</v>
      </c>
      <c r="H10" s="147">
        <v>26400</v>
      </c>
      <c r="I10" s="147">
        <v>27600</v>
      </c>
      <c r="J10" s="147">
        <v>28800</v>
      </c>
      <c r="K10" s="147">
        <v>36000</v>
      </c>
      <c r="L10" s="147">
        <v>27600</v>
      </c>
      <c r="M10" s="147">
        <v>27600</v>
      </c>
      <c r="N10" s="147">
        <v>30187.5</v>
      </c>
      <c r="O10" s="147">
        <v>40250</v>
      </c>
      <c r="P10" s="32"/>
    </row>
    <row r="11" spans="1:16" ht="18.5" x14ac:dyDescent="0.45">
      <c r="A11" s="98"/>
      <c r="B11" s="2"/>
      <c r="C11" s="108" t="s">
        <v>50</v>
      </c>
      <c r="D11" s="110"/>
      <c r="E11" s="133">
        <f>E10*$C$5</f>
        <v>7441875</v>
      </c>
      <c r="F11" s="133">
        <f t="shared" ref="F11:O11" si="1">F10*$C$5</f>
        <v>8186062.5</v>
      </c>
      <c r="G11" s="133">
        <f t="shared" si="1"/>
        <v>10241437.5</v>
      </c>
      <c r="H11" s="133">
        <f t="shared" si="1"/>
        <v>7484400</v>
      </c>
      <c r="I11" s="133">
        <f t="shared" si="1"/>
        <v>7824600</v>
      </c>
      <c r="J11" s="133">
        <f t="shared" si="1"/>
        <v>8164800</v>
      </c>
      <c r="K11" s="133">
        <f t="shared" si="1"/>
        <v>10206000</v>
      </c>
      <c r="L11" s="133">
        <f t="shared" si="1"/>
        <v>7824600</v>
      </c>
      <c r="M11" s="133">
        <f t="shared" si="1"/>
        <v>7824600</v>
      </c>
      <c r="N11" s="133">
        <f t="shared" si="1"/>
        <v>8558156.25</v>
      </c>
      <c r="O11" s="133">
        <f t="shared" si="1"/>
        <v>11410875</v>
      </c>
      <c r="P11" s="96"/>
    </row>
    <row r="12" spans="1:16" ht="18.5" x14ac:dyDescent="0.45">
      <c r="A12" s="98"/>
      <c r="B12" s="97"/>
      <c r="C12" s="3"/>
      <c r="D12" s="111"/>
      <c r="E12" s="111"/>
      <c r="F12" s="111"/>
      <c r="G12" s="111"/>
      <c r="H12" s="112"/>
      <c r="I12" s="111"/>
      <c r="J12" s="111"/>
      <c r="K12" s="111"/>
      <c r="L12" s="111"/>
      <c r="M12" s="96"/>
      <c r="N12" s="96"/>
      <c r="O12" s="96"/>
      <c r="P12" s="96"/>
    </row>
    <row r="13" spans="1:16" ht="18.5" x14ac:dyDescent="0.45">
      <c r="A13" s="98"/>
      <c r="B13" s="2" t="s">
        <v>168</v>
      </c>
      <c r="C13" s="108" t="s">
        <v>169</v>
      </c>
      <c r="D13" s="109">
        <v>26250</v>
      </c>
      <c r="E13" s="109">
        <v>23625</v>
      </c>
      <c r="F13" s="109">
        <v>30350</v>
      </c>
      <c r="G13" s="109">
        <v>19175</v>
      </c>
      <c r="H13" s="109">
        <v>23200</v>
      </c>
      <c r="I13" s="109">
        <v>24200</v>
      </c>
      <c r="J13" s="109">
        <v>31200</v>
      </c>
      <c r="K13" s="109">
        <v>21600</v>
      </c>
      <c r="L13" s="2">
        <v>24000</v>
      </c>
      <c r="M13" s="2">
        <v>26587.5</v>
      </c>
      <c r="N13" s="2">
        <v>36312.5</v>
      </c>
      <c r="O13" s="109">
        <v>29097.9545454545</v>
      </c>
      <c r="P13" s="96"/>
    </row>
    <row r="14" spans="1:16" ht="18.5" x14ac:dyDescent="0.45">
      <c r="A14" s="98"/>
      <c r="B14" s="2"/>
      <c r="C14" s="108" t="s">
        <v>50</v>
      </c>
      <c r="D14" s="113">
        <f>D13*$C$5</f>
        <v>7441875</v>
      </c>
      <c r="E14" s="113">
        <f t="shared" ref="E14:N14" si="2">E13*$C$5</f>
        <v>6697687.5</v>
      </c>
      <c r="F14" s="113">
        <f t="shared" si="2"/>
        <v>8604225</v>
      </c>
      <c r="G14" s="113">
        <f t="shared" si="2"/>
        <v>5436112.5</v>
      </c>
      <c r="H14" s="113">
        <f t="shared" si="2"/>
        <v>6577200</v>
      </c>
      <c r="I14" s="113">
        <f t="shared" si="2"/>
        <v>6860700</v>
      </c>
      <c r="J14" s="113">
        <f t="shared" si="2"/>
        <v>8845200</v>
      </c>
      <c r="K14" s="113">
        <f t="shared" si="2"/>
        <v>6123600</v>
      </c>
      <c r="L14" s="113">
        <f t="shared" si="2"/>
        <v>6804000</v>
      </c>
      <c r="M14" s="113">
        <f t="shared" si="2"/>
        <v>7537556.25</v>
      </c>
      <c r="N14" s="113">
        <f t="shared" si="2"/>
        <v>10294593.75</v>
      </c>
      <c r="O14" s="113">
        <f>O13*$C$5</f>
        <v>8249270.1136363512</v>
      </c>
      <c r="P14" s="96"/>
    </row>
    <row r="15" spans="1:16" ht="18.5" x14ac:dyDescent="0.45">
      <c r="A15" s="98"/>
      <c r="B15" s="96"/>
      <c r="C15" s="96"/>
      <c r="D15" s="96"/>
      <c r="E15" s="96"/>
      <c r="F15" s="96"/>
      <c r="G15" s="96"/>
      <c r="H15" s="96"/>
      <c r="I15" s="96"/>
      <c r="J15" s="96"/>
      <c r="K15" s="96"/>
      <c r="L15" s="96"/>
      <c r="M15" s="96"/>
      <c r="N15" s="96"/>
      <c r="O15" s="96"/>
      <c r="P15" s="96"/>
    </row>
    <row r="16" spans="1:16" ht="18.5" x14ac:dyDescent="0.45">
      <c r="A16" s="98"/>
      <c r="B16" s="96"/>
      <c r="C16" s="96"/>
      <c r="D16" s="96"/>
      <c r="E16" s="96"/>
      <c r="F16" s="96"/>
      <c r="G16" s="96"/>
      <c r="H16" s="96"/>
      <c r="I16" s="96"/>
      <c r="J16" s="96"/>
      <c r="K16" s="96"/>
      <c r="L16" s="96"/>
      <c r="M16" s="96"/>
      <c r="N16" s="96"/>
      <c r="O16" s="96"/>
      <c r="P16" s="96"/>
    </row>
    <row r="20" spans="1:15" ht="18.5" x14ac:dyDescent="0.45">
      <c r="A20" s="98"/>
      <c r="B20" s="2" t="s">
        <v>33</v>
      </c>
      <c r="C20" s="196" t="s">
        <v>34</v>
      </c>
      <c r="D20" s="196" t="s">
        <v>35</v>
      </c>
      <c r="E20" s="196" t="s">
        <v>36</v>
      </c>
      <c r="F20" s="196" t="s">
        <v>37</v>
      </c>
      <c r="G20" s="196" t="s">
        <v>38</v>
      </c>
      <c r="H20" s="196" t="s">
        <v>39</v>
      </c>
      <c r="I20" s="196" t="s">
        <v>40</v>
      </c>
      <c r="J20" s="196" t="s">
        <v>41</v>
      </c>
      <c r="K20" s="196" t="s">
        <v>42</v>
      </c>
      <c r="L20" s="196" t="s">
        <v>43</v>
      </c>
      <c r="M20" s="196" t="s">
        <v>44</v>
      </c>
      <c r="N20" s="196" t="s">
        <v>45</v>
      </c>
      <c r="O20" s="196" t="s">
        <v>46</v>
      </c>
    </row>
    <row r="21" spans="1:15" ht="18.5" x14ac:dyDescent="0.45">
      <c r="A21" s="98" t="s">
        <v>170</v>
      </c>
      <c r="B21" s="116" t="s">
        <v>47</v>
      </c>
      <c r="C21" s="117">
        <v>470</v>
      </c>
      <c r="D21" s="3"/>
      <c r="E21" s="3"/>
      <c r="F21" s="3"/>
      <c r="G21" s="3"/>
      <c r="H21" s="3"/>
      <c r="I21" s="3"/>
      <c r="J21" s="3"/>
      <c r="K21" s="3"/>
      <c r="L21" s="3"/>
      <c r="M21" s="96"/>
      <c r="N21" s="96"/>
      <c r="O21" s="96"/>
    </row>
    <row r="22" spans="1:15" ht="18.5" x14ac:dyDescent="0.45">
      <c r="A22" s="98" t="s">
        <v>171</v>
      </c>
      <c r="B22" s="118" t="s">
        <v>166</v>
      </c>
      <c r="C22" s="119">
        <v>220.5</v>
      </c>
      <c r="D22" s="3"/>
      <c r="E22" s="3"/>
      <c r="F22" s="3"/>
      <c r="G22" s="3"/>
      <c r="H22" s="3"/>
      <c r="I22" s="3"/>
      <c r="J22" s="3"/>
      <c r="K22" s="3"/>
      <c r="L22" s="3"/>
      <c r="M22" s="96"/>
      <c r="N22" s="96"/>
      <c r="O22" s="96"/>
    </row>
    <row r="23" spans="1:15" ht="18.5" x14ac:dyDescent="0.45">
      <c r="A23" s="98"/>
      <c r="B23" s="97"/>
      <c r="C23" s="97"/>
      <c r="D23" s="3"/>
      <c r="E23" s="3"/>
      <c r="F23" s="3"/>
      <c r="G23" s="3"/>
      <c r="H23" s="3"/>
      <c r="I23" s="3"/>
      <c r="J23" s="3"/>
      <c r="K23" s="3"/>
      <c r="L23" s="3"/>
      <c r="M23" s="96"/>
      <c r="N23" s="96"/>
      <c r="O23" s="96"/>
    </row>
    <row r="24" spans="1:15" ht="18.5" x14ac:dyDescent="0.45">
      <c r="A24" s="98"/>
      <c r="B24" s="2" t="s">
        <v>48</v>
      </c>
      <c r="C24" s="108" t="s">
        <v>49</v>
      </c>
      <c r="D24" s="59"/>
      <c r="E24" s="59">
        <v>9000</v>
      </c>
      <c r="F24" s="59">
        <v>9900</v>
      </c>
      <c r="G24" s="59">
        <v>12400</v>
      </c>
      <c r="H24" s="59">
        <v>9400</v>
      </c>
      <c r="I24" s="59">
        <v>10000</v>
      </c>
      <c r="J24" s="59">
        <v>10500</v>
      </c>
      <c r="K24" s="59">
        <v>13125</v>
      </c>
      <c r="L24" s="59">
        <v>10500</v>
      </c>
      <c r="M24" s="59">
        <v>10500</v>
      </c>
      <c r="N24" s="59">
        <v>11250</v>
      </c>
      <c r="O24" s="59">
        <v>15000</v>
      </c>
    </row>
    <row r="25" spans="1:15" ht="18.5" x14ac:dyDescent="0.45">
      <c r="A25" s="122"/>
      <c r="B25" s="123"/>
      <c r="C25" s="124" t="s">
        <v>50</v>
      </c>
      <c r="D25" s="125"/>
      <c r="E25" s="113">
        <f t="shared" ref="E25:O25" si="3">E24*$C$21</f>
        <v>4230000</v>
      </c>
      <c r="F25" s="113">
        <f t="shared" si="3"/>
        <v>4653000</v>
      </c>
      <c r="G25" s="113">
        <f t="shared" si="3"/>
        <v>5828000</v>
      </c>
      <c r="H25" s="113">
        <f t="shared" si="3"/>
        <v>4418000</v>
      </c>
      <c r="I25" s="113">
        <f t="shared" si="3"/>
        <v>4700000</v>
      </c>
      <c r="J25" s="113">
        <f t="shared" si="3"/>
        <v>4935000</v>
      </c>
      <c r="K25" s="113">
        <f t="shared" si="3"/>
        <v>6168750</v>
      </c>
      <c r="L25" s="113">
        <f t="shared" si="3"/>
        <v>4935000</v>
      </c>
      <c r="M25" s="113">
        <f t="shared" si="3"/>
        <v>4935000</v>
      </c>
      <c r="N25" s="113">
        <f t="shared" si="3"/>
        <v>5287500</v>
      </c>
      <c r="O25" s="113">
        <f t="shared" si="3"/>
        <v>7050000</v>
      </c>
    </row>
    <row r="26" spans="1:15" ht="18.5" x14ac:dyDescent="0.45">
      <c r="A26" s="122"/>
      <c r="B26" s="126"/>
      <c r="C26" s="127"/>
      <c r="D26" s="111"/>
      <c r="E26" s="111"/>
      <c r="F26" s="111"/>
      <c r="G26" s="111"/>
      <c r="H26" s="112"/>
      <c r="I26" s="112"/>
      <c r="J26" s="111"/>
      <c r="K26" s="111"/>
      <c r="L26" s="111"/>
      <c r="M26" s="96"/>
      <c r="N26" s="96"/>
      <c r="O26" s="96"/>
    </row>
    <row r="27" spans="1:15" ht="18.5" x14ac:dyDescent="0.45">
      <c r="A27" s="98"/>
      <c r="B27" s="2" t="s">
        <v>167</v>
      </c>
      <c r="C27" s="108" t="s">
        <v>49</v>
      </c>
      <c r="D27" s="120"/>
      <c r="E27" s="147">
        <v>11250</v>
      </c>
      <c r="F27" s="147">
        <v>12375</v>
      </c>
      <c r="G27" s="147">
        <v>15500</v>
      </c>
      <c r="H27" s="147">
        <v>11280</v>
      </c>
      <c r="I27" s="147">
        <v>12000</v>
      </c>
      <c r="J27" s="147">
        <v>12600</v>
      </c>
      <c r="K27" s="147">
        <v>15750</v>
      </c>
      <c r="L27" s="147">
        <v>12075</v>
      </c>
      <c r="M27" s="147">
        <v>12075</v>
      </c>
      <c r="N27" s="147">
        <v>12937.5</v>
      </c>
      <c r="O27" s="147">
        <v>17250</v>
      </c>
    </row>
    <row r="28" spans="1:15" ht="18.5" x14ac:dyDescent="0.45">
      <c r="A28" s="98"/>
      <c r="B28" s="2"/>
      <c r="C28" s="108" t="s">
        <v>50</v>
      </c>
      <c r="D28" s="110"/>
      <c r="E28" s="133">
        <f t="shared" ref="E28:O28" si="4">$C$22*E27</f>
        <v>2480625</v>
      </c>
      <c r="F28" s="133">
        <f t="shared" si="4"/>
        <v>2728687.5</v>
      </c>
      <c r="G28" s="133">
        <f t="shared" si="4"/>
        <v>3417750</v>
      </c>
      <c r="H28" s="133">
        <f t="shared" si="4"/>
        <v>2487240</v>
      </c>
      <c r="I28" s="133">
        <f t="shared" si="4"/>
        <v>2646000</v>
      </c>
      <c r="J28" s="133">
        <f t="shared" si="4"/>
        <v>2778300</v>
      </c>
      <c r="K28" s="133">
        <f t="shared" si="4"/>
        <v>3472875</v>
      </c>
      <c r="L28" s="133">
        <f t="shared" si="4"/>
        <v>2662537.5</v>
      </c>
      <c r="M28" s="133">
        <f t="shared" si="4"/>
        <v>2662537.5</v>
      </c>
      <c r="N28" s="133">
        <f t="shared" si="4"/>
        <v>2852718.75</v>
      </c>
      <c r="O28" s="133">
        <f t="shared" si="4"/>
        <v>3803625</v>
      </c>
    </row>
    <row r="29" spans="1:15" ht="18.5" x14ac:dyDescent="0.45">
      <c r="A29" s="98"/>
      <c r="B29" s="97"/>
      <c r="C29" s="3"/>
      <c r="D29" s="111"/>
      <c r="E29" s="111"/>
      <c r="F29" s="111"/>
      <c r="G29" s="111"/>
      <c r="H29" s="112"/>
      <c r="I29" s="111"/>
      <c r="J29" s="111"/>
      <c r="K29" s="111"/>
      <c r="L29" s="111"/>
      <c r="M29" s="96"/>
      <c r="N29" s="96"/>
      <c r="O29" s="96"/>
    </row>
    <row r="30" spans="1:15" ht="18.5" x14ac:dyDescent="0.45">
      <c r="A30" s="98"/>
      <c r="B30" s="2" t="s">
        <v>168</v>
      </c>
      <c r="C30" s="108" t="s">
        <v>172</v>
      </c>
      <c r="D30" s="109">
        <v>11250</v>
      </c>
      <c r="E30" s="109">
        <v>10125</v>
      </c>
      <c r="F30" s="109">
        <v>13025</v>
      </c>
      <c r="G30" s="109">
        <v>8180</v>
      </c>
      <c r="H30" s="109">
        <v>10120</v>
      </c>
      <c r="I30" s="109">
        <v>10600</v>
      </c>
      <c r="J30" s="109">
        <v>13650</v>
      </c>
      <c r="K30" s="121">
        <v>9450</v>
      </c>
      <c r="L30" s="2">
        <v>10500</v>
      </c>
      <c r="M30" s="2">
        <v>11362.5</v>
      </c>
      <c r="N30" s="2">
        <v>15562.5</v>
      </c>
      <c r="O30" s="109">
        <v>12620.8636363636</v>
      </c>
    </row>
    <row r="31" spans="1:15" ht="18.5" x14ac:dyDescent="0.45">
      <c r="A31" s="98"/>
      <c r="B31" s="2"/>
      <c r="C31" s="108" t="s">
        <v>50</v>
      </c>
      <c r="D31" s="113">
        <f t="shared" ref="D31:O31" si="5">D30*$C$22</f>
        <v>2480625</v>
      </c>
      <c r="E31" s="113">
        <f t="shared" si="5"/>
        <v>2232562.5</v>
      </c>
      <c r="F31" s="113">
        <f t="shared" si="5"/>
        <v>2872012.5</v>
      </c>
      <c r="G31" s="113">
        <f t="shared" si="5"/>
        <v>1803690</v>
      </c>
      <c r="H31" s="113">
        <f t="shared" si="5"/>
        <v>2231460</v>
      </c>
      <c r="I31" s="113">
        <f t="shared" si="5"/>
        <v>2337300</v>
      </c>
      <c r="J31" s="113">
        <f t="shared" si="5"/>
        <v>3009825</v>
      </c>
      <c r="K31" s="113">
        <f t="shared" si="5"/>
        <v>2083725</v>
      </c>
      <c r="L31" s="113">
        <f t="shared" si="5"/>
        <v>2315250</v>
      </c>
      <c r="M31" s="113">
        <f t="shared" si="5"/>
        <v>2505431.25</v>
      </c>
      <c r="N31" s="113">
        <f t="shared" si="5"/>
        <v>3431531.25</v>
      </c>
      <c r="O31" s="113">
        <f t="shared" si="5"/>
        <v>2782900.4318181737</v>
      </c>
    </row>
    <row r="32" spans="1:15" ht="18.5" x14ac:dyDescent="0.45">
      <c r="A32" s="98"/>
      <c r="B32" s="97"/>
      <c r="C32" s="3"/>
      <c r="D32" s="128"/>
      <c r="E32" s="128"/>
      <c r="F32" s="128"/>
      <c r="G32" s="128"/>
      <c r="H32" s="128"/>
      <c r="I32" s="128"/>
      <c r="J32" s="128"/>
      <c r="K32" s="128"/>
      <c r="L32" s="128"/>
      <c r="M32" s="96"/>
      <c r="N32" s="96"/>
      <c r="O32" s="96"/>
    </row>
    <row r="33" spans="1:16" ht="18.5" x14ac:dyDescent="0.45">
      <c r="A33" s="98"/>
      <c r="B33" s="97"/>
      <c r="C33" s="3"/>
      <c r="D33" s="3"/>
      <c r="E33" s="3"/>
      <c r="F33" s="3"/>
      <c r="G33" s="3"/>
      <c r="H33" s="3"/>
      <c r="I33" s="3"/>
      <c r="J33" s="3"/>
      <c r="K33" s="3"/>
      <c r="L33" s="3"/>
      <c r="M33" s="96"/>
      <c r="N33" s="96"/>
      <c r="O33" s="96"/>
      <c r="P33" s="96"/>
    </row>
    <row r="34" spans="1:16" ht="18.5" x14ac:dyDescent="0.45">
      <c r="A34" s="200" t="s">
        <v>173</v>
      </c>
      <c r="B34" s="201"/>
      <c r="C34" s="202" t="s">
        <v>49</v>
      </c>
      <c r="D34" s="203">
        <f>(D13+D30)/1920</f>
        <v>19.53125</v>
      </c>
      <c r="E34" s="203">
        <f t="shared" ref="E34:O34" si="6">(E13+E30)/1920</f>
        <v>17.578125</v>
      </c>
      <c r="F34" s="203">
        <f t="shared" si="6"/>
        <v>22.591145833333332</v>
      </c>
      <c r="G34" s="203">
        <f t="shared" si="6"/>
        <v>14.247395833333334</v>
      </c>
      <c r="H34" s="203">
        <f t="shared" si="6"/>
        <v>17.354166666666668</v>
      </c>
      <c r="I34" s="203">
        <f t="shared" si="6"/>
        <v>18.125</v>
      </c>
      <c r="J34" s="203">
        <f t="shared" si="6"/>
        <v>23.359375</v>
      </c>
      <c r="K34" s="203">
        <f t="shared" si="6"/>
        <v>16.171875</v>
      </c>
      <c r="L34" s="203">
        <f t="shared" si="6"/>
        <v>17.96875</v>
      </c>
      <c r="M34" s="203">
        <f t="shared" si="6"/>
        <v>19.765625</v>
      </c>
      <c r="N34" s="203">
        <f t="shared" si="6"/>
        <v>27.018229166666668</v>
      </c>
      <c r="O34" s="203">
        <f t="shared" si="6"/>
        <v>21.728551136363595</v>
      </c>
      <c r="P34" s="96"/>
    </row>
    <row r="35" spans="1:16" ht="18.5" x14ac:dyDescent="0.45">
      <c r="A35" s="98"/>
      <c r="B35" s="97"/>
      <c r="C35" s="3"/>
      <c r="D35" s="3"/>
      <c r="E35" s="3"/>
      <c r="F35" s="3"/>
      <c r="G35" s="3"/>
      <c r="H35" s="3"/>
      <c r="I35" s="3"/>
      <c r="J35" s="3"/>
      <c r="K35" s="3"/>
      <c r="L35" s="3"/>
      <c r="M35" s="96"/>
      <c r="N35" s="96"/>
      <c r="O35" s="96"/>
      <c r="P35" s="96"/>
    </row>
  </sheetData>
  <phoneticPr fontId="16" type="noConversion"/>
  <pageMargins left="0.7" right="0.7" top="0.75" bottom="0.75" header="0.3" footer="0.3"/>
  <pageSetup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2"/>
  <sheetViews>
    <sheetView topLeftCell="A6" workbookViewId="0">
      <selection activeCell="P32" sqref="P32"/>
    </sheetView>
  </sheetViews>
  <sheetFormatPr defaultRowHeight="14.5" x14ac:dyDescent="0.35"/>
  <cols>
    <col min="1" max="1" width="39.54296875" customWidth="1"/>
    <col min="7" max="7" width="9.54296875" customWidth="1"/>
    <col min="8" max="8" width="10.81640625" customWidth="1"/>
    <col min="9" max="9" width="11.453125" customWidth="1"/>
    <col min="10" max="10" width="11.1796875" customWidth="1"/>
  </cols>
  <sheetData>
    <row r="1" spans="1:10" x14ac:dyDescent="0.35">
      <c r="A1" s="129" t="s">
        <v>174</v>
      </c>
      <c r="B1" s="129"/>
      <c r="C1" s="129" t="s">
        <v>175</v>
      </c>
      <c r="D1" s="129" t="s">
        <v>176</v>
      </c>
      <c r="E1" s="129" t="s">
        <v>177</v>
      </c>
      <c r="F1" s="129" t="s">
        <v>178</v>
      </c>
      <c r="G1" s="129" t="s">
        <v>179</v>
      </c>
      <c r="H1" s="129" t="s">
        <v>180</v>
      </c>
      <c r="I1" s="129" t="s">
        <v>181</v>
      </c>
      <c r="J1" s="129" t="s">
        <v>182</v>
      </c>
    </row>
    <row r="2" spans="1:10" x14ac:dyDescent="0.35">
      <c r="A2" s="129"/>
      <c r="B2" s="129"/>
      <c r="C2" s="129" t="s">
        <v>183</v>
      </c>
      <c r="D2" s="129" t="s">
        <v>184</v>
      </c>
      <c r="E2" s="129" t="s">
        <v>185</v>
      </c>
      <c r="F2" s="129" t="s">
        <v>186</v>
      </c>
      <c r="G2" s="129" t="s">
        <v>187</v>
      </c>
      <c r="H2" s="129" t="s">
        <v>188</v>
      </c>
      <c r="I2" s="129" t="s">
        <v>189</v>
      </c>
      <c r="J2" s="129" t="s">
        <v>190</v>
      </c>
    </row>
    <row r="3" spans="1:10" x14ac:dyDescent="0.35">
      <c r="A3" s="129"/>
      <c r="B3" s="129"/>
      <c r="C3" s="129"/>
      <c r="D3" s="129"/>
      <c r="E3" s="129" t="s">
        <v>191</v>
      </c>
      <c r="F3" s="129"/>
      <c r="G3" s="129"/>
      <c r="H3" s="129"/>
      <c r="I3" s="129"/>
      <c r="J3" s="129"/>
    </row>
    <row r="4" spans="1:10" x14ac:dyDescent="0.35">
      <c r="A4" s="2" t="s">
        <v>192</v>
      </c>
      <c r="B4" s="129"/>
      <c r="C4" s="129"/>
      <c r="D4" s="129"/>
      <c r="E4" s="131"/>
      <c r="F4" s="129"/>
      <c r="G4" s="129"/>
      <c r="H4" s="131"/>
      <c r="I4" s="129"/>
      <c r="J4" s="129"/>
    </row>
    <row r="5" spans="1:10" x14ac:dyDescent="0.35">
      <c r="A5" s="129" t="s">
        <v>193</v>
      </c>
      <c r="B5" s="129"/>
      <c r="C5" s="130"/>
      <c r="D5" s="129"/>
      <c r="E5" s="131"/>
      <c r="F5" s="129"/>
      <c r="G5" s="130"/>
      <c r="H5" s="131"/>
      <c r="I5" s="130"/>
      <c r="J5" s="129"/>
    </row>
    <row r="6" spans="1:10" x14ac:dyDescent="0.35">
      <c r="A6" s="129" t="s">
        <v>194</v>
      </c>
      <c r="B6" s="129"/>
      <c r="C6" s="130"/>
      <c r="D6" s="129"/>
      <c r="E6" s="131"/>
      <c r="F6" s="129"/>
      <c r="G6" s="130"/>
      <c r="H6" s="131"/>
      <c r="I6" s="130"/>
      <c r="J6" s="129"/>
    </row>
    <row r="7" spans="1:10" x14ac:dyDescent="0.35">
      <c r="A7" s="129" t="s">
        <v>195</v>
      </c>
      <c r="B7" s="129"/>
      <c r="C7" s="129"/>
      <c r="D7" s="130"/>
      <c r="E7" s="131"/>
      <c r="F7" s="129"/>
      <c r="G7" s="130"/>
      <c r="H7" s="131"/>
      <c r="I7" s="130"/>
      <c r="J7" s="129"/>
    </row>
    <row r="8" spans="1:10" x14ac:dyDescent="0.35">
      <c r="A8" s="129" t="s">
        <v>196</v>
      </c>
      <c r="B8" s="129"/>
      <c r="C8" s="129"/>
      <c r="D8" s="129"/>
      <c r="E8" s="131"/>
      <c r="F8" s="130"/>
      <c r="G8" s="130"/>
      <c r="H8" s="131"/>
      <c r="I8" s="130"/>
      <c r="J8" s="129"/>
    </row>
    <row r="9" spans="1:10" x14ac:dyDescent="0.35">
      <c r="A9" s="129" t="s">
        <v>197</v>
      </c>
      <c r="B9" s="129"/>
      <c r="C9" s="129"/>
      <c r="D9" s="129"/>
      <c r="E9" s="131"/>
      <c r="F9" s="130"/>
      <c r="G9" s="130"/>
      <c r="H9" s="131"/>
      <c r="I9" s="130"/>
      <c r="J9" s="129"/>
    </row>
    <row r="10" spans="1:10" x14ac:dyDescent="0.35">
      <c r="A10" s="129"/>
      <c r="B10" s="129"/>
      <c r="C10" s="129"/>
      <c r="D10" s="129"/>
      <c r="E10" s="129"/>
      <c r="F10" s="129"/>
      <c r="G10" s="129"/>
      <c r="H10" s="129"/>
      <c r="I10" s="129"/>
      <c r="J10" s="129"/>
    </row>
    <row r="11" spans="1:10" x14ac:dyDescent="0.35">
      <c r="A11" s="2" t="s">
        <v>198</v>
      </c>
      <c r="B11" s="129"/>
      <c r="C11" s="129"/>
      <c r="D11" s="129"/>
      <c r="E11" s="129"/>
      <c r="F11" s="129"/>
      <c r="G11" s="129"/>
      <c r="H11" s="129"/>
      <c r="I11" s="129"/>
      <c r="J11" s="129"/>
    </row>
    <row r="12" spans="1:10" x14ac:dyDescent="0.35">
      <c r="A12" s="129" t="s">
        <v>193</v>
      </c>
      <c r="B12" s="129"/>
      <c r="C12" s="130"/>
      <c r="D12" s="129"/>
      <c r="E12" s="129"/>
      <c r="F12" s="129"/>
      <c r="G12" s="131"/>
      <c r="H12" s="129"/>
      <c r="I12" s="130"/>
      <c r="J12" s="129"/>
    </row>
    <row r="13" spans="1:10" x14ac:dyDescent="0.35">
      <c r="A13" s="129" t="s">
        <v>199</v>
      </c>
      <c r="B13" s="129"/>
      <c r="C13" s="129"/>
      <c r="D13" s="130"/>
      <c r="E13" s="130"/>
      <c r="F13" s="129"/>
      <c r="G13" s="131"/>
      <c r="H13" s="129"/>
      <c r="I13" s="130"/>
      <c r="J13" s="129"/>
    </row>
    <row r="14" spans="1:10" x14ac:dyDescent="0.35">
      <c r="A14" s="129" t="s">
        <v>200</v>
      </c>
      <c r="B14" s="129"/>
      <c r="C14" s="129"/>
      <c r="D14" s="129"/>
      <c r="E14" s="130"/>
      <c r="F14" s="129"/>
      <c r="G14" s="131"/>
      <c r="H14" s="129"/>
      <c r="I14" s="130"/>
      <c r="J14" s="129"/>
    </row>
    <row r="15" spans="1:10" x14ac:dyDescent="0.35">
      <c r="A15" s="129" t="s">
        <v>201</v>
      </c>
      <c r="B15" s="129"/>
      <c r="C15" s="129"/>
      <c r="D15" s="129"/>
      <c r="E15" s="129"/>
      <c r="F15" s="130"/>
      <c r="G15" s="131"/>
      <c r="H15" s="129"/>
      <c r="I15" s="130"/>
      <c r="J15" s="129"/>
    </row>
    <row r="16" spans="1:10" x14ac:dyDescent="0.35">
      <c r="A16" s="129" t="s">
        <v>202</v>
      </c>
      <c r="B16" s="129"/>
      <c r="C16" s="129"/>
      <c r="D16" s="129"/>
      <c r="E16" s="129"/>
      <c r="F16" s="129"/>
      <c r="G16" s="129"/>
      <c r="H16" s="130"/>
      <c r="I16" s="130"/>
      <c r="J16" s="129"/>
    </row>
    <row r="17" spans="1:10" x14ac:dyDescent="0.35">
      <c r="A17" s="129"/>
      <c r="B17" s="129"/>
      <c r="C17" s="129"/>
      <c r="D17" s="129"/>
      <c r="E17" s="129"/>
      <c r="F17" s="129"/>
      <c r="G17" s="129"/>
      <c r="H17" s="129"/>
      <c r="I17" s="129"/>
      <c r="J17" s="129"/>
    </row>
    <row r="18" spans="1:10" x14ac:dyDescent="0.35">
      <c r="A18" s="2" t="s">
        <v>203</v>
      </c>
      <c r="B18" s="129"/>
      <c r="C18" s="129"/>
      <c r="D18" s="129"/>
      <c r="E18" s="129"/>
      <c r="F18" s="129"/>
      <c r="G18" s="129"/>
      <c r="H18" s="129"/>
      <c r="I18" s="129"/>
      <c r="J18" s="129"/>
    </row>
    <row r="19" spans="1:10" x14ac:dyDescent="0.35">
      <c r="A19" s="129" t="s">
        <v>193</v>
      </c>
      <c r="B19" s="129"/>
      <c r="C19" s="130"/>
      <c r="D19" s="129"/>
      <c r="E19" s="129"/>
      <c r="F19" s="129"/>
      <c r="G19" s="131"/>
      <c r="H19" s="131"/>
      <c r="I19" s="130"/>
      <c r="J19" s="129"/>
    </row>
    <row r="20" spans="1:10" x14ac:dyDescent="0.35">
      <c r="A20" s="129" t="s">
        <v>204</v>
      </c>
      <c r="B20" s="129"/>
      <c r="C20" s="129"/>
      <c r="D20" s="130"/>
      <c r="E20" s="130"/>
      <c r="F20" s="129"/>
      <c r="G20" s="131"/>
      <c r="H20" s="131"/>
      <c r="I20" s="130"/>
      <c r="J20" s="129"/>
    </row>
    <row r="21" spans="1:10" x14ac:dyDescent="0.35">
      <c r="A21" s="129" t="s">
        <v>205</v>
      </c>
      <c r="B21" s="129"/>
      <c r="C21" s="129"/>
      <c r="D21" s="129"/>
      <c r="E21" s="130"/>
      <c r="F21" s="130"/>
      <c r="G21" s="131"/>
      <c r="H21" s="131"/>
      <c r="I21" s="130"/>
      <c r="J21" s="129"/>
    </row>
    <row r="22" spans="1:10" x14ac:dyDescent="0.35">
      <c r="A22" s="129"/>
      <c r="B22" s="129"/>
      <c r="C22" s="129"/>
      <c r="D22" s="129"/>
      <c r="E22" s="129"/>
      <c r="F22" s="129"/>
      <c r="G22" s="129"/>
      <c r="H22" s="129"/>
      <c r="I22" s="129"/>
      <c r="J22" s="129"/>
    </row>
    <row r="23" spans="1:10" x14ac:dyDescent="0.35">
      <c r="A23" s="2" t="s">
        <v>206</v>
      </c>
      <c r="B23" s="129"/>
      <c r="C23" s="129"/>
      <c r="D23" s="129"/>
      <c r="E23" s="129"/>
      <c r="F23" s="129"/>
      <c r="G23" s="129"/>
      <c r="H23" s="129"/>
      <c r="I23" s="129"/>
      <c r="J23" s="129"/>
    </row>
    <row r="24" spans="1:10" x14ac:dyDescent="0.35">
      <c r="A24" s="129" t="s">
        <v>193</v>
      </c>
      <c r="B24" s="129"/>
      <c r="C24" s="130"/>
      <c r="D24" s="129"/>
      <c r="E24" s="129"/>
      <c r="F24" s="129"/>
      <c r="G24" s="129"/>
      <c r="H24" s="129"/>
      <c r="I24" s="130"/>
      <c r="J24" s="129"/>
    </row>
    <row r="25" spans="1:10" x14ac:dyDescent="0.35">
      <c r="A25" s="129" t="s">
        <v>207</v>
      </c>
      <c r="B25" s="129"/>
      <c r="C25" s="129"/>
      <c r="D25" s="130"/>
      <c r="E25" s="129"/>
      <c r="F25" s="129"/>
      <c r="G25" s="129"/>
      <c r="H25" s="129"/>
      <c r="I25" s="130"/>
      <c r="J25" s="129"/>
    </row>
    <row r="26" spans="1:10" x14ac:dyDescent="0.35">
      <c r="A26" s="129" t="s">
        <v>208</v>
      </c>
      <c r="B26" s="129"/>
      <c r="C26" s="129"/>
      <c r="D26" s="129"/>
      <c r="E26" s="129"/>
      <c r="F26" s="129"/>
      <c r="G26" s="130"/>
      <c r="H26" s="129"/>
      <c r="I26" s="130"/>
      <c r="J26" s="129"/>
    </row>
    <row r="27" spans="1:10" x14ac:dyDescent="0.35">
      <c r="A27" s="129"/>
      <c r="B27" s="129"/>
      <c r="C27" s="129"/>
      <c r="D27" s="129"/>
      <c r="E27" s="129"/>
      <c r="F27" s="129"/>
      <c r="G27" s="129"/>
      <c r="H27" s="129"/>
      <c r="I27" s="129"/>
      <c r="J27" s="129"/>
    </row>
    <row r="28" spans="1:10" x14ac:dyDescent="0.35">
      <c r="A28" s="2" t="s">
        <v>209</v>
      </c>
      <c r="B28" s="129"/>
      <c r="C28" s="129"/>
      <c r="D28" s="129"/>
      <c r="E28" s="129"/>
      <c r="F28" s="129"/>
      <c r="G28" s="129"/>
      <c r="H28" s="129"/>
      <c r="I28" s="129"/>
      <c r="J28" s="129"/>
    </row>
    <row r="29" spans="1:10" x14ac:dyDescent="0.35">
      <c r="A29" s="129" t="s">
        <v>210</v>
      </c>
      <c r="B29" s="129"/>
      <c r="C29" s="129"/>
      <c r="D29" s="130"/>
      <c r="E29" s="131"/>
      <c r="F29" s="131"/>
      <c r="G29" s="129"/>
      <c r="H29" s="131"/>
      <c r="I29" s="130"/>
      <c r="J29" s="129"/>
    </row>
    <row r="30" spans="1:10" x14ac:dyDescent="0.35">
      <c r="A30" s="129" t="s">
        <v>211</v>
      </c>
      <c r="B30" s="129"/>
      <c r="C30" s="129"/>
      <c r="D30" s="129"/>
      <c r="E30" s="129"/>
      <c r="F30" s="130"/>
      <c r="G30" s="129"/>
      <c r="H30" s="131"/>
      <c r="I30" s="130"/>
      <c r="J30" s="129"/>
    </row>
    <row r="31" spans="1:10" x14ac:dyDescent="0.35">
      <c r="A31" s="129" t="s">
        <v>212</v>
      </c>
      <c r="B31" s="129"/>
      <c r="C31" s="129"/>
      <c r="D31" s="129"/>
      <c r="E31" s="129"/>
      <c r="F31" s="129"/>
      <c r="G31" s="130"/>
      <c r="H31" s="131"/>
      <c r="I31" s="130"/>
      <c r="J31" s="129"/>
    </row>
    <row r="32" spans="1:10" x14ac:dyDescent="0.35">
      <c r="A32" s="129"/>
      <c r="B32" s="129"/>
      <c r="C32" s="129"/>
      <c r="D32" s="129"/>
      <c r="E32" s="129"/>
      <c r="F32" s="129"/>
      <c r="G32" s="129"/>
      <c r="H32" s="129"/>
      <c r="I32" s="129"/>
      <c r="J32" s="1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55"/>
  <sheetViews>
    <sheetView topLeftCell="B73" zoomScale="58" workbookViewId="0">
      <selection activeCell="P89" sqref="P89"/>
    </sheetView>
  </sheetViews>
  <sheetFormatPr defaultColWidth="8.81640625" defaultRowHeight="18.5" x14ac:dyDescent="0.45"/>
  <cols>
    <col min="1" max="1" width="31.453125" style="67" customWidth="1"/>
    <col min="2" max="2" width="17.453125" style="49" customWidth="1"/>
    <col min="3" max="3" width="15.453125" style="44" customWidth="1"/>
    <col min="4" max="5" width="12.453125" style="44" customWidth="1"/>
    <col min="6" max="6" width="17.1796875" style="44" customWidth="1"/>
    <col min="7" max="7" width="17" style="44" customWidth="1"/>
    <col min="8" max="8" width="23.1796875" style="44" customWidth="1"/>
    <col min="9" max="9" width="15.08984375" style="44" customWidth="1"/>
    <col min="10" max="10" width="18" style="44" customWidth="1"/>
    <col min="11" max="11" width="15.90625" style="44" customWidth="1"/>
    <col min="12" max="12" width="23.54296875" style="44" customWidth="1"/>
    <col min="13" max="13" width="18.36328125" style="44" customWidth="1"/>
    <col min="14" max="14" width="14.90625" style="44" customWidth="1"/>
    <col min="15" max="15" width="19.90625" style="44" customWidth="1"/>
    <col min="16" max="16" width="23.453125" style="44" customWidth="1"/>
    <col min="17" max="17" width="24.453125" style="45" customWidth="1"/>
    <col min="18" max="16384" width="8.81640625" style="45"/>
  </cols>
  <sheetData>
    <row r="1" spans="1:16" s="49" customFormat="1" x14ac:dyDescent="0.45">
      <c r="A1" s="74"/>
      <c r="B1" s="51"/>
      <c r="C1" s="52"/>
      <c r="D1" s="52"/>
      <c r="E1" s="52"/>
      <c r="F1" s="53"/>
      <c r="G1" s="54"/>
      <c r="H1" s="54"/>
      <c r="I1" s="54"/>
      <c r="J1" s="54"/>
      <c r="K1" s="54"/>
      <c r="L1" s="54"/>
      <c r="M1" s="54"/>
      <c r="N1" s="54"/>
      <c r="O1" s="54"/>
      <c r="P1" s="54"/>
    </row>
    <row r="2" spans="1:16" s="49" customFormat="1" x14ac:dyDescent="0.45">
      <c r="A2" s="74"/>
      <c r="B2" s="51"/>
      <c r="C2" s="52"/>
      <c r="D2" s="52"/>
      <c r="E2" s="52"/>
      <c r="F2" s="53"/>
      <c r="G2" s="54"/>
      <c r="H2" s="54"/>
      <c r="I2" s="54"/>
      <c r="J2" s="54"/>
      <c r="K2" s="54"/>
      <c r="L2" s="54"/>
      <c r="M2" s="54"/>
      <c r="N2" s="54"/>
      <c r="O2" s="54"/>
      <c r="P2" s="54"/>
    </row>
    <row r="3" spans="1:16" x14ac:dyDescent="0.45">
      <c r="A3" s="74"/>
      <c r="B3" s="51"/>
      <c r="C3" s="55"/>
      <c r="D3" s="55"/>
      <c r="E3" s="55"/>
      <c r="F3" s="55"/>
      <c r="G3" s="55"/>
      <c r="H3" s="55"/>
      <c r="I3" s="55"/>
      <c r="J3" s="55"/>
      <c r="K3" s="55"/>
      <c r="L3" s="55"/>
      <c r="M3" s="55"/>
      <c r="N3" s="55"/>
      <c r="O3" s="55"/>
      <c r="P3" s="55"/>
    </row>
    <row r="4" spans="1:16" ht="36" x14ac:dyDescent="0.8">
      <c r="A4" s="75" t="s">
        <v>249</v>
      </c>
      <c r="B4" s="51"/>
      <c r="C4" s="55"/>
      <c r="D4" s="56"/>
      <c r="E4" s="55"/>
      <c r="F4" s="55"/>
      <c r="G4" s="55"/>
      <c r="H4" s="55"/>
      <c r="I4" s="55"/>
      <c r="J4" s="55"/>
      <c r="K4" s="55"/>
      <c r="L4" s="55"/>
      <c r="M4" s="55"/>
      <c r="N4" s="55"/>
      <c r="O4" s="55"/>
      <c r="P4" s="55"/>
    </row>
    <row r="5" spans="1:16" x14ac:dyDescent="0.45">
      <c r="A5" s="74"/>
      <c r="B5" s="51"/>
      <c r="C5" s="55"/>
      <c r="D5" s="55"/>
      <c r="E5" s="55"/>
      <c r="F5" s="55"/>
      <c r="G5" s="55"/>
      <c r="H5" s="55"/>
      <c r="I5" s="55"/>
      <c r="J5" s="55"/>
      <c r="K5" s="55"/>
      <c r="L5" s="55"/>
      <c r="M5" s="55"/>
      <c r="N5" s="55"/>
      <c r="O5" s="55"/>
      <c r="P5" s="55"/>
    </row>
    <row r="6" spans="1:16" s="49" customFormat="1" x14ac:dyDescent="0.45">
      <c r="A6" s="74"/>
      <c r="B6" s="46" t="s">
        <v>33</v>
      </c>
      <c r="C6" s="47" t="s">
        <v>34</v>
      </c>
      <c r="D6" s="47" t="s">
        <v>35</v>
      </c>
      <c r="E6" s="47" t="s">
        <v>36</v>
      </c>
      <c r="F6" s="47" t="s">
        <v>37</v>
      </c>
      <c r="G6" s="47" t="s">
        <v>38</v>
      </c>
      <c r="H6" s="47" t="s">
        <v>39</v>
      </c>
      <c r="I6" s="47" t="s">
        <v>40</v>
      </c>
      <c r="J6" s="198" t="s">
        <v>41</v>
      </c>
      <c r="K6" s="47" t="s">
        <v>42</v>
      </c>
      <c r="L6" s="47" t="s">
        <v>43</v>
      </c>
      <c r="M6" s="47" t="s">
        <v>44</v>
      </c>
      <c r="N6" s="47" t="s">
        <v>45</v>
      </c>
      <c r="O6" s="47" t="s">
        <v>46</v>
      </c>
      <c r="P6" s="54"/>
    </row>
    <row r="7" spans="1:16" x14ac:dyDescent="0.45">
      <c r="A7" s="74" t="s">
        <v>19</v>
      </c>
      <c r="B7" s="80" t="s">
        <v>47</v>
      </c>
      <c r="C7" s="81">
        <v>670</v>
      </c>
      <c r="D7" s="55"/>
      <c r="E7" s="55"/>
      <c r="F7" s="55"/>
      <c r="G7" s="55"/>
      <c r="H7" s="55"/>
      <c r="I7" s="55"/>
      <c r="J7" s="55"/>
      <c r="K7" s="55"/>
      <c r="L7" s="55"/>
      <c r="M7" s="55"/>
      <c r="N7" s="55"/>
      <c r="O7" s="55"/>
      <c r="P7" s="55"/>
    </row>
    <row r="8" spans="1:16" x14ac:dyDescent="0.45">
      <c r="A8" s="74"/>
      <c r="B8" s="82"/>
      <c r="C8" s="83"/>
      <c r="D8" s="55"/>
      <c r="E8" s="65"/>
      <c r="F8" s="55"/>
      <c r="G8" s="55"/>
      <c r="H8" s="55"/>
      <c r="I8" s="55"/>
      <c r="J8" s="55"/>
      <c r="K8" s="55"/>
      <c r="L8" s="55"/>
      <c r="M8" s="55"/>
      <c r="N8" s="55"/>
      <c r="O8" s="55"/>
      <c r="P8" s="55"/>
    </row>
    <row r="9" spans="1:16" x14ac:dyDescent="0.45">
      <c r="A9" s="74"/>
      <c r="B9" s="51"/>
      <c r="C9" s="51"/>
      <c r="D9" s="55"/>
      <c r="E9" s="55"/>
      <c r="F9" s="55"/>
      <c r="G9" s="55"/>
      <c r="H9" s="55"/>
      <c r="I9" s="55"/>
      <c r="J9" s="55"/>
      <c r="K9" s="55"/>
      <c r="L9" s="55"/>
      <c r="M9" s="55"/>
      <c r="N9" s="55"/>
      <c r="O9" s="55"/>
      <c r="P9" s="55"/>
    </row>
    <row r="10" spans="1:16" x14ac:dyDescent="0.45">
      <c r="A10" s="74"/>
      <c r="B10" s="46" t="s">
        <v>48</v>
      </c>
      <c r="C10" s="58" t="s">
        <v>49</v>
      </c>
      <c r="D10" s="59"/>
      <c r="E10" s="59">
        <v>21000</v>
      </c>
      <c r="F10" s="59">
        <v>23100</v>
      </c>
      <c r="G10" s="59">
        <v>28900</v>
      </c>
      <c r="H10" s="59">
        <v>22000</v>
      </c>
      <c r="I10" s="59">
        <v>23000</v>
      </c>
      <c r="J10" s="59">
        <v>24000</v>
      </c>
      <c r="K10" s="59">
        <v>30000</v>
      </c>
      <c r="L10" s="59">
        <v>24000</v>
      </c>
      <c r="M10" s="59">
        <v>24000</v>
      </c>
      <c r="N10" s="59">
        <v>26250</v>
      </c>
      <c r="O10" s="59">
        <v>35000</v>
      </c>
      <c r="P10" s="55"/>
    </row>
    <row r="11" spans="1:16" s="63" customFormat="1" x14ac:dyDescent="0.45">
      <c r="A11" s="76"/>
      <c r="B11" s="60"/>
      <c r="C11" s="61" t="s">
        <v>50</v>
      </c>
      <c r="D11" s="62">
        <f>$C$7*D10</f>
        <v>0</v>
      </c>
      <c r="E11" s="62">
        <f>C7*E10</f>
        <v>14070000</v>
      </c>
      <c r="F11" s="62">
        <f>C7*F10</f>
        <v>15477000</v>
      </c>
      <c r="G11" s="62">
        <f>C7*G10</f>
        <v>19363000</v>
      </c>
      <c r="H11" s="62">
        <f>C7*H10</f>
        <v>14740000</v>
      </c>
      <c r="I11" s="62">
        <f>C7*I10</f>
        <v>15410000</v>
      </c>
      <c r="J11" s="62">
        <f>C7*J10</f>
        <v>16080000</v>
      </c>
      <c r="K11" s="62">
        <f>C7*K10</f>
        <v>20100000</v>
      </c>
      <c r="L11" s="62">
        <f>C7*L10</f>
        <v>16080000</v>
      </c>
      <c r="M11" s="62">
        <f>C7*M10</f>
        <v>16080000</v>
      </c>
      <c r="N11" s="62">
        <f>C7*N10</f>
        <v>17587500</v>
      </c>
      <c r="O11" s="62">
        <f>C7*O10</f>
        <v>23450000</v>
      </c>
      <c r="P11" s="57"/>
    </row>
    <row r="12" spans="1:16" s="63" customFormat="1" x14ac:dyDescent="0.45">
      <c r="A12" s="76"/>
      <c r="B12" s="64"/>
      <c r="C12" s="57"/>
      <c r="D12" s="65"/>
      <c r="E12" s="65"/>
      <c r="F12" s="65"/>
      <c r="G12" s="65"/>
      <c r="H12" s="66"/>
      <c r="I12" s="66"/>
      <c r="J12" s="65"/>
      <c r="K12" s="65"/>
      <c r="L12" s="65"/>
      <c r="M12" s="65"/>
      <c r="N12" s="65"/>
      <c r="O12" s="65"/>
      <c r="P12" s="57"/>
    </row>
    <row r="13" spans="1:16" x14ac:dyDescent="0.45">
      <c r="A13" s="74"/>
      <c r="B13" s="51"/>
      <c r="C13" s="55"/>
      <c r="D13" s="32"/>
      <c r="E13" s="32"/>
      <c r="F13" s="32"/>
      <c r="G13" s="32"/>
      <c r="H13" s="32"/>
      <c r="I13" s="32"/>
      <c r="J13" s="32"/>
      <c r="K13" s="32"/>
      <c r="L13" s="32"/>
      <c r="M13" s="32"/>
      <c r="N13" s="32"/>
      <c r="O13" s="32"/>
      <c r="P13" s="55"/>
    </row>
    <row r="14" spans="1:16" x14ac:dyDescent="0.45">
      <c r="A14" s="74" t="s">
        <v>51</v>
      </c>
      <c r="B14" s="80" t="s">
        <v>47</v>
      </c>
      <c r="C14" s="81">
        <v>470</v>
      </c>
      <c r="D14" s="55"/>
      <c r="E14" s="55"/>
      <c r="F14" s="55"/>
      <c r="G14" s="55"/>
      <c r="H14" s="55"/>
      <c r="I14" s="55"/>
      <c r="J14" s="55"/>
      <c r="K14" s="55"/>
      <c r="L14" s="55"/>
      <c r="M14" s="55"/>
      <c r="N14" s="55"/>
      <c r="O14" s="55"/>
      <c r="P14" s="55"/>
    </row>
    <row r="15" spans="1:16" x14ac:dyDescent="0.45">
      <c r="B15" s="82"/>
      <c r="C15" s="83"/>
      <c r="D15" s="55"/>
      <c r="E15" s="55"/>
      <c r="F15" s="55"/>
      <c r="G15" s="55"/>
      <c r="H15" s="55"/>
      <c r="I15" s="55"/>
      <c r="J15" s="55"/>
      <c r="K15" s="55"/>
      <c r="L15" s="55"/>
      <c r="M15" s="55"/>
      <c r="N15" s="55"/>
      <c r="O15" s="55"/>
      <c r="P15" s="55"/>
    </row>
    <row r="16" spans="1:16" x14ac:dyDescent="0.45">
      <c r="B16" s="51"/>
      <c r="C16" s="51"/>
      <c r="D16" s="55"/>
      <c r="E16" s="55"/>
      <c r="F16" s="55"/>
      <c r="G16" s="55"/>
      <c r="H16" s="55"/>
      <c r="I16" s="55"/>
      <c r="J16" s="55"/>
      <c r="K16" s="55"/>
      <c r="L16" s="55"/>
      <c r="M16" s="55"/>
      <c r="N16" s="55"/>
      <c r="O16" s="55"/>
    </row>
    <row r="17" spans="2:16" x14ac:dyDescent="0.45">
      <c r="B17" s="46" t="s">
        <v>48</v>
      </c>
      <c r="C17" s="58" t="s">
        <v>49</v>
      </c>
      <c r="D17" s="59"/>
      <c r="E17" s="59">
        <v>9000</v>
      </c>
      <c r="F17" s="59">
        <v>9900</v>
      </c>
      <c r="G17" s="59">
        <v>12400</v>
      </c>
      <c r="H17" s="59">
        <v>9400</v>
      </c>
      <c r="I17" s="59">
        <v>10000</v>
      </c>
      <c r="J17" s="59">
        <v>10500</v>
      </c>
      <c r="K17" s="59">
        <v>13125</v>
      </c>
      <c r="L17" s="59">
        <v>10500</v>
      </c>
      <c r="M17" s="59">
        <v>10500</v>
      </c>
      <c r="N17" s="59">
        <v>11250</v>
      </c>
      <c r="O17" s="59">
        <v>15000</v>
      </c>
    </row>
    <row r="18" spans="2:16" x14ac:dyDescent="0.45">
      <c r="B18" s="60"/>
      <c r="C18" s="61" t="s">
        <v>50</v>
      </c>
      <c r="D18" s="62">
        <f>C14*D17</f>
        <v>0</v>
      </c>
      <c r="E18" s="62">
        <f>C14*E17</f>
        <v>4230000</v>
      </c>
      <c r="F18" s="62">
        <f>C14*F17</f>
        <v>4653000</v>
      </c>
      <c r="G18" s="62">
        <f t="shared" ref="G18:O18" si="0">$C$14*G17</f>
        <v>5828000</v>
      </c>
      <c r="H18" s="62">
        <f t="shared" si="0"/>
        <v>4418000</v>
      </c>
      <c r="I18" s="62">
        <f t="shared" si="0"/>
        <v>4700000</v>
      </c>
      <c r="J18" s="62">
        <f t="shared" si="0"/>
        <v>4935000</v>
      </c>
      <c r="K18" s="62">
        <f t="shared" si="0"/>
        <v>6168750</v>
      </c>
      <c r="L18" s="62">
        <f t="shared" si="0"/>
        <v>4935000</v>
      </c>
      <c r="M18" s="62">
        <f t="shared" si="0"/>
        <v>4935000</v>
      </c>
      <c r="N18" s="62">
        <f t="shared" si="0"/>
        <v>5287500</v>
      </c>
      <c r="O18" s="62">
        <f t="shared" si="0"/>
        <v>7050000</v>
      </c>
    </row>
    <row r="20" spans="2:16" x14ac:dyDescent="0.45">
      <c r="B20" s="241" t="s">
        <v>52</v>
      </c>
      <c r="C20" s="242"/>
      <c r="D20" s="243">
        <f t="shared" ref="D20:O20" si="1">D11+D18</f>
        <v>0</v>
      </c>
      <c r="E20" s="243">
        <f t="shared" si="1"/>
        <v>18300000</v>
      </c>
      <c r="F20" s="243">
        <f t="shared" si="1"/>
        <v>20130000</v>
      </c>
      <c r="G20" s="243">
        <f t="shared" si="1"/>
        <v>25191000</v>
      </c>
      <c r="H20" s="243">
        <f t="shared" si="1"/>
        <v>19158000</v>
      </c>
      <c r="I20" s="243">
        <f t="shared" si="1"/>
        <v>20110000</v>
      </c>
      <c r="J20" s="243">
        <f t="shared" si="1"/>
        <v>21015000</v>
      </c>
      <c r="K20" s="243">
        <f t="shared" si="1"/>
        <v>26268750</v>
      </c>
      <c r="L20" s="243">
        <f t="shared" si="1"/>
        <v>21015000</v>
      </c>
      <c r="M20" s="243">
        <f t="shared" si="1"/>
        <v>21015000</v>
      </c>
      <c r="N20" s="243">
        <f t="shared" si="1"/>
        <v>22875000</v>
      </c>
      <c r="O20" s="244">
        <f t="shared" si="1"/>
        <v>30500000</v>
      </c>
    </row>
    <row r="23" spans="2:16" x14ac:dyDescent="0.45">
      <c r="E23" s="44">
        <f>E20*0.6</f>
        <v>10980000</v>
      </c>
      <c r="F23" s="44">
        <f>E20*0.4</f>
        <v>7320000</v>
      </c>
    </row>
    <row r="25" spans="2:16" x14ac:dyDescent="0.45">
      <c r="B25" s="239" t="s">
        <v>243</v>
      </c>
      <c r="C25" s="239"/>
      <c r="D25" s="239"/>
      <c r="E25" s="239"/>
      <c r="F25" s="239"/>
      <c r="G25" s="239"/>
      <c r="H25" s="239"/>
      <c r="I25" s="239"/>
      <c r="J25" s="239"/>
      <c r="K25" s="239"/>
      <c r="L25" s="239"/>
      <c r="M25" s="239"/>
      <c r="N25" s="239"/>
      <c r="O25" s="239"/>
    </row>
    <row r="26" spans="2:16" x14ac:dyDescent="0.45">
      <c r="B26" s="49" t="s">
        <v>214</v>
      </c>
      <c r="C26" s="44" t="s">
        <v>215</v>
      </c>
      <c r="D26" s="44" t="s">
        <v>216</v>
      </c>
      <c r="E26" s="44" t="s">
        <v>217</v>
      </c>
      <c r="F26" s="44" t="s">
        <v>218</v>
      </c>
      <c r="G26" s="44" t="s">
        <v>219</v>
      </c>
      <c r="H26" s="44" t="s">
        <v>220</v>
      </c>
      <c r="I26" s="44" t="s">
        <v>221</v>
      </c>
      <c r="J26" s="44" t="s">
        <v>222</v>
      </c>
      <c r="K26" s="44" t="s">
        <v>223</v>
      </c>
      <c r="L26" s="44" t="s">
        <v>224</v>
      </c>
      <c r="M26" s="44" t="s">
        <v>225</v>
      </c>
      <c r="N26" s="44" t="s">
        <v>226</v>
      </c>
      <c r="O26" s="44" t="s">
        <v>32</v>
      </c>
      <c r="P26" s="251" t="s">
        <v>244</v>
      </c>
    </row>
    <row r="27" spans="2:16" x14ac:dyDescent="0.45">
      <c r="B27" s="49" t="s">
        <v>227</v>
      </c>
      <c r="C27" s="209"/>
      <c r="D27" s="209"/>
      <c r="E27" s="209"/>
      <c r="F27" s="210">
        <f>($E$10+$E$17)/3</f>
        <v>10000</v>
      </c>
      <c r="G27" s="210">
        <f t="shared" ref="G27:H27" si="2">($E$10+$E$17)/3</f>
        <v>10000</v>
      </c>
      <c r="H27" s="210">
        <f t="shared" si="2"/>
        <v>10000</v>
      </c>
      <c r="I27" s="210">
        <f>($F$10+$F$17)/3</f>
        <v>11000</v>
      </c>
      <c r="J27" s="210">
        <f t="shared" ref="J27:K27" si="3">($F$10+$F$17)/3</f>
        <v>11000</v>
      </c>
      <c r="K27" s="210">
        <f t="shared" si="3"/>
        <v>11000</v>
      </c>
      <c r="L27" s="210">
        <f>($G$10+$G$17)/4</f>
        <v>10325</v>
      </c>
      <c r="M27" s="210">
        <f>($G$10+$G$17)/4</f>
        <v>10325</v>
      </c>
      <c r="N27" s="210">
        <f>($G$10+$G$17)/2</f>
        <v>20650</v>
      </c>
      <c r="O27" s="205">
        <f t="shared" ref="O27" si="4">O10+O17</f>
        <v>50000</v>
      </c>
      <c r="P27" s="251"/>
    </row>
    <row r="28" spans="2:16" x14ac:dyDescent="0.45">
      <c r="B28" s="49" t="s">
        <v>228</v>
      </c>
      <c r="C28" s="207"/>
      <c r="D28" s="207"/>
      <c r="E28" s="207"/>
      <c r="F28" s="208">
        <f>(E11+E18)/3</f>
        <v>6100000</v>
      </c>
      <c r="G28" s="208">
        <f>(E11+E18)/3</f>
        <v>6100000</v>
      </c>
      <c r="H28" s="208">
        <f>(E11+E18)/3</f>
        <v>6100000</v>
      </c>
      <c r="I28" s="208">
        <f>F20/3</f>
        <v>6710000</v>
      </c>
      <c r="J28" s="208">
        <f>F20/3</f>
        <v>6710000</v>
      </c>
      <c r="K28" s="208">
        <f>F20/3</f>
        <v>6710000</v>
      </c>
      <c r="L28" s="208">
        <f>G20/4</f>
        <v>6297750</v>
      </c>
      <c r="M28" s="208">
        <f>G20/4</f>
        <v>6297750</v>
      </c>
      <c r="N28" s="208">
        <f>G20/2</f>
        <v>12595500</v>
      </c>
      <c r="O28" s="206">
        <f>SUM(F28:N28)</f>
        <v>63621000</v>
      </c>
      <c r="P28" s="251"/>
    </row>
    <row r="29" spans="2:16" x14ac:dyDescent="0.45">
      <c r="P29" s="251"/>
    </row>
    <row r="30" spans="2:16" x14ac:dyDescent="0.45">
      <c r="B30" s="49" t="s">
        <v>229</v>
      </c>
      <c r="P30" s="251"/>
    </row>
    <row r="31" spans="2:16" x14ac:dyDescent="0.45">
      <c r="B31" s="49" t="s">
        <v>233</v>
      </c>
      <c r="P31" s="251"/>
    </row>
    <row r="32" spans="2:16" x14ac:dyDescent="0.45">
      <c r="B32" s="49" t="s">
        <v>234</v>
      </c>
      <c r="P32" s="251"/>
    </row>
    <row r="33" spans="2:17" x14ac:dyDescent="0.45">
      <c r="B33" s="49" t="s">
        <v>235</v>
      </c>
      <c r="P33" s="251"/>
    </row>
    <row r="34" spans="2:17" x14ac:dyDescent="0.45">
      <c r="B34" s="49" t="s">
        <v>236</v>
      </c>
      <c r="F34" s="206">
        <f>F28*0.6</f>
        <v>3660000</v>
      </c>
      <c r="I34" s="206">
        <f>F28*0.4</f>
        <v>2440000</v>
      </c>
      <c r="O34" s="212">
        <f>F34+I34</f>
        <v>6100000</v>
      </c>
      <c r="P34" s="251"/>
    </row>
    <row r="35" spans="2:17" x14ac:dyDescent="0.45">
      <c r="B35" s="49" t="s">
        <v>237</v>
      </c>
      <c r="G35" s="206">
        <f>G28*0.6</f>
        <v>3660000</v>
      </c>
      <c r="J35" s="206">
        <f>G28*0.4</f>
        <v>2440000</v>
      </c>
      <c r="O35" s="212">
        <f>G35+J35</f>
        <v>6100000</v>
      </c>
      <c r="P35" s="251"/>
    </row>
    <row r="36" spans="2:17" x14ac:dyDescent="0.45">
      <c r="B36" s="49" t="s">
        <v>238</v>
      </c>
      <c r="H36" s="206">
        <f>H28*0.6</f>
        <v>3660000</v>
      </c>
      <c r="K36" s="206">
        <f>H28*0.4</f>
        <v>2440000</v>
      </c>
      <c r="O36" s="212">
        <f>H36+K36</f>
        <v>6100000</v>
      </c>
      <c r="P36" s="251"/>
    </row>
    <row r="37" spans="2:17" x14ac:dyDescent="0.45">
      <c r="B37" s="49" t="s">
        <v>239</v>
      </c>
      <c r="I37" s="206">
        <f>I28*0.6</f>
        <v>4026000</v>
      </c>
      <c r="L37" s="206">
        <f>I28*0.4</f>
        <v>2684000</v>
      </c>
      <c r="O37" s="212">
        <f>I37+L37</f>
        <v>6710000</v>
      </c>
      <c r="P37" s="251"/>
    </row>
    <row r="38" spans="2:17" x14ac:dyDescent="0.45">
      <c r="B38" s="49" t="s">
        <v>240</v>
      </c>
      <c r="J38" s="206">
        <f>J28*0.6</f>
        <v>4026000</v>
      </c>
      <c r="M38" s="206">
        <f>J28*0.4</f>
        <v>2684000</v>
      </c>
      <c r="O38" s="212">
        <f>J38+M38</f>
        <v>6710000</v>
      </c>
      <c r="P38" s="251"/>
    </row>
    <row r="39" spans="2:17" x14ac:dyDescent="0.45">
      <c r="B39" s="49" t="s">
        <v>241</v>
      </c>
      <c r="K39" s="206">
        <f>K28*0.6</f>
        <v>4026000</v>
      </c>
      <c r="N39" s="206">
        <f>K28*0.4</f>
        <v>2684000</v>
      </c>
      <c r="O39" s="212">
        <f>K39+N39</f>
        <v>6710000</v>
      </c>
      <c r="P39" s="251"/>
    </row>
    <row r="40" spans="2:17" x14ac:dyDescent="0.45">
      <c r="B40" s="49" t="s">
        <v>242</v>
      </c>
      <c r="L40" s="206">
        <f>L28*0.6</f>
        <v>3778650</v>
      </c>
      <c r="O40" s="212">
        <f>L40</f>
        <v>3778650</v>
      </c>
      <c r="P40" s="252">
        <f>L28*0.4</f>
        <v>2519100</v>
      </c>
      <c r="Q40" s="206"/>
    </row>
    <row r="41" spans="2:17" x14ac:dyDescent="0.45">
      <c r="B41" s="49" t="s">
        <v>232</v>
      </c>
      <c r="M41" s="206">
        <f>M28*0.6</f>
        <v>3778650</v>
      </c>
      <c r="O41" s="212">
        <f>M41</f>
        <v>3778650</v>
      </c>
      <c r="P41" s="253">
        <f>M28*0.4</f>
        <v>2519100</v>
      </c>
    </row>
    <row r="42" spans="2:17" x14ac:dyDescent="0.45">
      <c r="B42" s="49" t="s">
        <v>231</v>
      </c>
      <c r="N42" s="206">
        <f>N28*0.6</f>
        <v>7557300</v>
      </c>
      <c r="O42" s="212">
        <f>N42</f>
        <v>7557300</v>
      </c>
      <c r="P42" s="253">
        <f>N28*0.4</f>
        <v>5038200</v>
      </c>
      <c r="Q42" s="227"/>
    </row>
    <row r="43" spans="2:17" x14ac:dyDescent="0.45">
      <c r="B43" s="49" t="s">
        <v>230</v>
      </c>
      <c r="F43" s="206">
        <f>F34</f>
        <v>3660000</v>
      </c>
      <c r="G43" s="206">
        <f>G35</f>
        <v>3660000</v>
      </c>
      <c r="H43" s="206">
        <f>H36</f>
        <v>3660000</v>
      </c>
      <c r="I43" s="206">
        <f>I34+I37</f>
        <v>6466000</v>
      </c>
      <c r="J43" s="206">
        <f>J35+J38</f>
        <v>6466000</v>
      </c>
      <c r="K43" s="206">
        <f>K36+K39</f>
        <v>6466000</v>
      </c>
      <c r="L43" s="206">
        <f>L37+L40</f>
        <v>6462650</v>
      </c>
      <c r="M43" s="206">
        <f>M38+M41</f>
        <v>6462650</v>
      </c>
      <c r="N43" s="206">
        <f>N39+N42</f>
        <v>10241300</v>
      </c>
      <c r="O43" s="211">
        <f>SUM(F43:N43)</f>
        <v>53544600</v>
      </c>
      <c r="P43" s="252"/>
    </row>
    <row r="44" spans="2:17" x14ac:dyDescent="0.45">
      <c r="B44" s="254" t="s">
        <v>245</v>
      </c>
      <c r="C44" s="251"/>
      <c r="D44" s="251"/>
      <c r="E44" s="251"/>
      <c r="F44" s="251"/>
      <c r="G44" s="251"/>
      <c r="H44" s="251"/>
      <c r="I44" s="251"/>
      <c r="J44" s="251"/>
      <c r="K44" s="251"/>
      <c r="L44" s="251"/>
      <c r="M44" s="251"/>
      <c r="N44" s="251"/>
      <c r="O44" s="251"/>
      <c r="P44" s="252">
        <f>SUM(P40:P42)</f>
        <v>10076400</v>
      </c>
    </row>
    <row r="46" spans="2:17" x14ac:dyDescent="0.45">
      <c r="B46" s="239" t="s">
        <v>246</v>
      </c>
      <c r="C46" s="239"/>
      <c r="D46" s="239"/>
      <c r="E46" s="239"/>
      <c r="F46" s="239"/>
      <c r="G46" s="239"/>
      <c r="H46" s="239"/>
      <c r="I46" s="239"/>
      <c r="J46" s="239"/>
      <c r="K46" s="239"/>
      <c r="L46" s="239"/>
      <c r="M46" s="239"/>
      <c r="N46" s="239"/>
      <c r="O46" s="239"/>
    </row>
    <row r="47" spans="2:17" x14ac:dyDescent="0.45">
      <c r="B47" s="49" t="s">
        <v>214</v>
      </c>
      <c r="C47" s="44" t="s">
        <v>215</v>
      </c>
      <c r="D47" s="44" t="s">
        <v>216</v>
      </c>
      <c r="E47" s="44" t="s">
        <v>217</v>
      </c>
      <c r="F47" s="44" t="s">
        <v>218</v>
      </c>
      <c r="G47" s="44" t="s">
        <v>219</v>
      </c>
      <c r="H47" s="44" t="s">
        <v>220</v>
      </c>
      <c r="I47" s="44" t="s">
        <v>221</v>
      </c>
      <c r="J47" s="44" t="s">
        <v>222</v>
      </c>
      <c r="K47" s="44" t="s">
        <v>223</v>
      </c>
      <c r="L47" s="44" t="s">
        <v>224</v>
      </c>
      <c r="M47" s="44" t="s">
        <v>225</v>
      </c>
      <c r="N47" s="44" t="s">
        <v>226</v>
      </c>
      <c r="O47" s="44" t="s">
        <v>32</v>
      </c>
      <c r="P47" s="251" t="s">
        <v>250</v>
      </c>
    </row>
    <row r="48" spans="2:17" x14ac:dyDescent="0.45">
      <c r="B48" s="49" t="s">
        <v>227</v>
      </c>
      <c r="C48" s="213">
        <f>($H$10+$H$17)/3</f>
        <v>10466.666666666666</v>
      </c>
      <c r="D48" s="213">
        <f t="shared" ref="D48:E48" si="5">($H$10+$H$17)/3</f>
        <v>10466.666666666666</v>
      </c>
      <c r="E48" s="213">
        <f t="shared" si="5"/>
        <v>10466.666666666666</v>
      </c>
      <c r="F48" s="210">
        <f>($I$10+$I$17)/3</f>
        <v>11000</v>
      </c>
      <c r="G48" s="210">
        <f t="shared" ref="G48:H48" si="6">($I$10+$I$17)/3</f>
        <v>11000</v>
      </c>
      <c r="H48" s="210">
        <f t="shared" si="6"/>
        <v>11000</v>
      </c>
      <c r="I48" s="210">
        <f>($J$10+$J$17)/3</f>
        <v>11500</v>
      </c>
      <c r="J48" s="210">
        <f t="shared" ref="J48:K48" si="7">($J$10+$J$17)/3</f>
        <v>11500</v>
      </c>
      <c r="K48" s="210">
        <f t="shared" si="7"/>
        <v>11500</v>
      </c>
      <c r="L48" s="210">
        <f>($K$10+$K$17)/3</f>
        <v>14375</v>
      </c>
      <c r="M48" s="210">
        <f t="shared" ref="M48:N48" si="8">($K$10+$K$17)/3</f>
        <v>14375</v>
      </c>
      <c r="N48" s="210">
        <f t="shared" si="8"/>
        <v>14375</v>
      </c>
      <c r="O48" s="205">
        <f>SUM(C48:N48)</f>
        <v>142025</v>
      </c>
      <c r="P48" s="251"/>
    </row>
    <row r="49" spans="2:16" x14ac:dyDescent="0.45">
      <c r="B49" s="49" t="s">
        <v>228</v>
      </c>
      <c r="C49" s="207">
        <f>$H$20/3</f>
        <v>6386000</v>
      </c>
      <c r="D49" s="207">
        <f t="shared" ref="D49:E49" si="9">$H$20/3</f>
        <v>6386000</v>
      </c>
      <c r="E49" s="207">
        <f t="shared" si="9"/>
        <v>6386000</v>
      </c>
      <c r="F49" s="214">
        <f>$I$20/3</f>
        <v>6703333.333333333</v>
      </c>
      <c r="G49" s="214">
        <f t="shared" ref="G49:H49" si="10">$I$20/3</f>
        <v>6703333.333333333</v>
      </c>
      <c r="H49" s="214">
        <f t="shared" si="10"/>
        <v>6703333.333333333</v>
      </c>
      <c r="I49" s="208">
        <f>$J$20/3</f>
        <v>7005000</v>
      </c>
      <c r="J49" s="208">
        <f t="shared" ref="J49:K49" si="11">$J$20/3</f>
        <v>7005000</v>
      </c>
      <c r="K49" s="208">
        <f t="shared" si="11"/>
        <v>7005000</v>
      </c>
      <c r="L49" s="214">
        <f>$K$20/4</f>
        <v>6567187.5</v>
      </c>
      <c r="M49" s="214">
        <f>$K$20/4</f>
        <v>6567187.5</v>
      </c>
      <c r="N49" s="214">
        <f>$K$20/2</f>
        <v>13134375</v>
      </c>
      <c r="O49" s="206">
        <f>SUM(C49:N49)</f>
        <v>86551750</v>
      </c>
      <c r="P49" s="251"/>
    </row>
    <row r="50" spans="2:16" x14ac:dyDescent="0.45">
      <c r="P50" s="251"/>
    </row>
    <row r="51" spans="2:16" x14ac:dyDescent="0.45">
      <c r="B51" s="49" t="s">
        <v>229</v>
      </c>
      <c r="P51" s="251"/>
    </row>
    <row r="52" spans="2:16" x14ac:dyDescent="0.45">
      <c r="B52" s="49" t="s">
        <v>233</v>
      </c>
      <c r="C52" s="215">
        <f>C$49*0.6</f>
        <v>3831600</v>
      </c>
      <c r="D52" s="215"/>
      <c r="E52" s="215"/>
      <c r="F52" s="215">
        <f>C$49*0.4</f>
        <v>2554400</v>
      </c>
      <c r="G52" s="215"/>
      <c r="H52" s="215"/>
      <c r="I52" s="215"/>
      <c r="J52" s="215"/>
      <c r="K52" s="215"/>
      <c r="L52" s="215"/>
      <c r="M52" s="215"/>
      <c r="N52" s="215"/>
      <c r="O52" s="216">
        <f>C52+F52</f>
        <v>6386000</v>
      </c>
      <c r="P52" s="251"/>
    </row>
    <row r="53" spans="2:16" x14ac:dyDescent="0.45">
      <c r="B53" s="49" t="s">
        <v>234</v>
      </c>
      <c r="C53" s="215"/>
      <c r="D53" s="215">
        <f>D$49*0.6</f>
        <v>3831600</v>
      </c>
      <c r="E53" s="215"/>
      <c r="F53" s="215"/>
      <c r="G53" s="215">
        <f>D$49*0.4</f>
        <v>2554400</v>
      </c>
      <c r="H53" s="215"/>
      <c r="I53" s="215"/>
      <c r="J53" s="215"/>
      <c r="K53" s="215"/>
      <c r="L53" s="215"/>
      <c r="M53" s="215"/>
      <c r="N53" s="215"/>
      <c r="O53" s="216">
        <f>D53+G53</f>
        <v>6386000</v>
      </c>
      <c r="P53" s="251"/>
    </row>
    <row r="54" spans="2:16" x14ac:dyDescent="0.45">
      <c r="B54" s="49" t="s">
        <v>235</v>
      </c>
      <c r="C54" s="215"/>
      <c r="D54" s="215"/>
      <c r="E54" s="215">
        <f>E$49*0.6</f>
        <v>3831600</v>
      </c>
      <c r="F54" s="215"/>
      <c r="G54" s="215"/>
      <c r="H54" s="215">
        <f>E$49*0.4</f>
        <v>2554400</v>
      </c>
      <c r="I54" s="215"/>
      <c r="J54" s="215"/>
      <c r="K54" s="215"/>
      <c r="L54" s="215"/>
      <c r="M54" s="215"/>
      <c r="N54" s="215"/>
      <c r="O54" s="216">
        <f>E54+H54</f>
        <v>6386000</v>
      </c>
      <c r="P54" s="251"/>
    </row>
    <row r="55" spans="2:16" x14ac:dyDescent="0.45">
      <c r="B55" s="49" t="s">
        <v>236</v>
      </c>
      <c r="C55" s="215"/>
      <c r="D55" s="215"/>
      <c r="E55" s="215"/>
      <c r="F55" s="215">
        <f>F$49*0.6</f>
        <v>4021999.9999999995</v>
      </c>
      <c r="G55" s="215"/>
      <c r="H55" s="215"/>
      <c r="I55" s="215">
        <f>F$49*0.4</f>
        <v>2681333.3333333335</v>
      </c>
      <c r="J55" s="215"/>
      <c r="K55" s="215"/>
      <c r="L55" s="215"/>
      <c r="M55" s="215"/>
      <c r="N55" s="215"/>
      <c r="O55" s="216">
        <f>F55+I55</f>
        <v>6703333.333333333</v>
      </c>
      <c r="P55" s="251"/>
    </row>
    <row r="56" spans="2:16" x14ac:dyDescent="0.45">
      <c r="B56" s="49" t="s">
        <v>237</v>
      </c>
      <c r="C56" s="215"/>
      <c r="D56" s="215"/>
      <c r="E56" s="215"/>
      <c r="F56" s="215"/>
      <c r="G56" s="215">
        <f>G$49*0.6</f>
        <v>4021999.9999999995</v>
      </c>
      <c r="H56" s="215"/>
      <c r="I56" s="215"/>
      <c r="J56" s="215">
        <f>G$49*0.4</f>
        <v>2681333.3333333335</v>
      </c>
      <c r="K56" s="215"/>
      <c r="L56" s="215"/>
      <c r="M56" s="215"/>
      <c r="N56" s="215"/>
      <c r="O56" s="216">
        <f>G56+J56</f>
        <v>6703333.333333333</v>
      </c>
      <c r="P56" s="251"/>
    </row>
    <row r="57" spans="2:16" x14ac:dyDescent="0.45">
      <c r="B57" s="49" t="s">
        <v>238</v>
      </c>
      <c r="C57" s="215"/>
      <c r="D57" s="215"/>
      <c r="E57" s="215"/>
      <c r="F57" s="215"/>
      <c r="G57" s="215"/>
      <c r="H57" s="215">
        <f>H$49*0.6</f>
        <v>4021999.9999999995</v>
      </c>
      <c r="I57" s="215"/>
      <c r="J57" s="215"/>
      <c r="K57" s="215">
        <f>H$49*0.4</f>
        <v>2681333.3333333335</v>
      </c>
      <c r="L57" s="215"/>
      <c r="M57" s="215"/>
      <c r="N57" s="215"/>
      <c r="O57" s="216">
        <f>H57+K57</f>
        <v>6703333.333333333</v>
      </c>
      <c r="P57" s="251"/>
    </row>
    <row r="58" spans="2:16" x14ac:dyDescent="0.45">
      <c r="B58" s="49" t="s">
        <v>239</v>
      </c>
      <c r="C58" s="215"/>
      <c r="D58" s="215"/>
      <c r="E58" s="215"/>
      <c r="F58" s="215"/>
      <c r="G58" s="215"/>
      <c r="H58" s="215"/>
      <c r="I58" s="215">
        <f>I$49*0.6</f>
        <v>4203000</v>
      </c>
      <c r="J58" s="215"/>
      <c r="K58" s="215"/>
      <c r="L58" s="215">
        <f>I$49*0.4</f>
        <v>2802000</v>
      </c>
      <c r="M58" s="215"/>
      <c r="N58" s="215"/>
      <c r="O58" s="216">
        <f>I58+L58</f>
        <v>7005000</v>
      </c>
      <c r="P58" s="251"/>
    </row>
    <row r="59" spans="2:16" x14ac:dyDescent="0.45">
      <c r="B59" s="49" t="s">
        <v>240</v>
      </c>
      <c r="C59" s="215"/>
      <c r="D59" s="215"/>
      <c r="E59" s="215"/>
      <c r="F59" s="215"/>
      <c r="G59" s="215"/>
      <c r="H59" s="215"/>
      <c r="I59" s="215"/>
      <c r="J59" s="215">
        <f>J$49*0.6</f>
        <v>4203000</v>
      </c>
      <c r="K59" s="215"/>
      <c r="L59" s="215"/>
      <c r="M59" s="215">
        <f>J$49*0.4</f>
        <v>2802000</v>
      </c>
      <c r="N59" s="215"/>
      <c r="O59" s="216">
        <f>J59+M59</f>
        <v>7005000</v>
      </c>
      <c r="P59" s="251"/>
    </row>
    <row r="60" spans="2:16" x14ac:dyDescent="0.45">
      <c r="B60" s="49" t="s">
        <v>241</v>
      </c>
      <c r="C60" s="215"/>
      <c r="D60" s="215"/>
      <c r="E60" s="215"/>
      <c r="F60" s="215"/>
      <c r="G60" s="215"/>
      <c r="H60" s="215"/>
      <c r="I60" s="215"/>
      <c r="J60" s="215"/>
      <c r="K60" s="215">
        <f>K$49*0.6</f>
        <v>4203000</v>
      </c>
      <c r="L60" s="215"/>
      <c r="M60" s="215"/>
      <c r="N60" s="215">
        <f>K$49*0.4</f>
        <v>2802000</v>
      </c>
      <c r="O60" s="216">
        <f>K60+N60</f>
        <v>7005000</v>
      </c>
      <c r="P60" s="251"/>
    </row>
    <row r="61" spans="2:16" x14ac:dyDescent="0.45">
      <c r="B61" s="49" t="s">
        <v>242</v>
      </c>
      <c r="C61" s="215"/>
      <c r="D61" s="215"/>
      <c r="E61" s="215"/>
      <c r="F61" s="215"/>
      <c r="G61" s="215"/>
      <c r="H61" s="215"/>
      <c r="I61" s="215"/>
      <c r="J61" s="215"/>
      <c r="K61" s="215"/>
      <c r="L61" s="215">
        <f>L$49*0.6</f>
        <v>3940312.5</v>
      </c>
      <c r="M61" s="215"/>
      <c r="N61" s="215"/>
      <c r="O61" s="216">
        <f>L61</f>
        <v>3940312.5</v>
      </c>
      <c r="P61" s="251">
        <f>L49*0.4</f>
        <v>2626875</v>
      </c>
    </row>
    <row r="62" spans="2:16" x14ac:dyDescent="0.45">
      <c r="B62" s="49" t="s">
        <v>232</v>
      </c>
      <c r="C62" s="215"/>
      <c r="D62" s="215"/>
      <c r="E62" s="215"/>
      <c r="F62" s="215"/>
      <c r="G62" s="215"/>
      <c r="H62" s="215"/>
      <c r="I62" s="215"/>
      <c r="J62" s="215"/>
      <c r="K62" s="215"/>
      <c r="L62" s="215"/>
      <c r="M62" s="215">
        <f>M$49*0.6</f>
        <v>3940312.5</v>
      </c>
      <c r="N62" s="215"/>
      <c r="O62" s="216">
        <f>M62</f>
        <v>3940312.5</v>
      </c>
      <c r="P62" s="251">
        <f>M49*0.4</f>
        <v>2626875</v>
      </c>
    </row>
    <row r="63" spans="2:16" x14ac:dyDescent="0.45">
      <c r="B63" s="49" t="s">
        <v>231</v>
      </c>
      <c r="C63" s="215"/>
      <c r="D63" s="215"/>
      <c r="E63" s="215"/>
      <c r="F63" s="215"/>
      <c r="G63" s="215"/>
      <c r="H63" s="215"/>
      <c r="I63" s="215"/>
      <c r="J63" s="215"/>
      <c r="K63" s="215"/>
      <c r="L63" s="215"/>
      <c r="M63" s="215"/>
      <c r="N63" s="215">
        <f>N$49*0.6</f>
        <v>7880625</v>
      </c>
      <c r="O63" s="216">
        <f>N63</f>
        <v>7880625</v>
      </c>
      <c r="P63" s="251">
        <f>N49*0.4</f>
        <v>5253750</v>
      </c>
    </row>
    <row r="64" spans="2:16" x14ac:dyDescent="0.45">
      <c r="B64" s="49" t="s">
        <v>230</v>
      </c>
      <c r="C64" s="215">
        <f>C52</f>
        <v>3831600</v>
      </c>
      <c r="D64" s="215">
        <f>D53</f>
        <v>3831600</v>
      </c>
      <c r="E64" s="215">
        <f>E54</f>
        <v>3831600</v>
      </c>
      <c r="F64" s="215">
        <f>F52+F55</f>
        <v>6576400</v>
      </c>
      <c r="G64" s="215">
        <f>G53+G56</f>
        <v>6576400</v>
      </c>
      <c r="H64" s="215">
        <f>H54+H57</f>
        <v>6576400</v>
      </c>
      <c r="I64" s="215">
        <f>I55+I58</f>
        <v>6884333.333333334</v>
      </c>
      <c r="J64" s="215">
        <f>J56+J59</f>
        <v>6884333.333333334</v>
      </c>
      <c r="K64" s="215">
        <f>K57+K60</f>
        <v>6884333.333333334</v>
      </c>
      <c r="L64" s="215">
        <f>L58+L61</f>
        <v>6742312.5</v>
      </c>
      <c r="M64" s="215">
        <f>M59+M62</f>
        <v>6742312.5</v>
      </c>
      <c r="N64" s="215">
        <f>N60+N63</f>
        <v>10682625</v>
      </c>
      <c r="O64" s="217">
        <f>SUM(F64:N64)</f>
        <v>64549450.000000007</v>
      </c>
      <c r="P64" s="251"/>
    </row>
    <row r="65" spans="2:16" x14ac:dyDescent="0.45">
      <c r="B65" s="254" t="s">
        <v>245</v>
      </c>
      <c r="C65" s="251"/>
      <c r="D65" s="251"/>
      <c r="E65" s="251"/>
      <c r="F65" s="251"/>
      <c r="G65" s="251"/>
      <c r="H65" s="251"/>
      <c r="I65" s="251"/>
      <c r="J65" s="251"/>
      <c r="K65" s="251"/>
      <c r="L65" s="251"/>
      <c r="M65" s="251"/>
      <c r="N65" s="251"/>
      <c r="O65" s="251"/>
      <c r="P65" s="251">
        <f>SUM(P61:P63)</f>
        <v>10507500</v>
      </c>
    </row>
    <row r="67" spans="2:16" x14ac:dyDescent="0.45">
      <c r="B67" s="239" t="s">
        <v>247</v>
      </c>
      <c r="C67" s="239"/>
      <c r="D67" s="239"/>
      <c r="E67" s="239"/>
      <c r="F67" s="239"/>
      <c r="G67" s="239"/>
      <c r="H67" s="239"/>
      <c r="I67" s="239"/>
      <c r="J67" s="239"/>
      <c r="K67" s="239"/>
      <c r="L67" s="239"/>
      <c r="M67" s="239"/>
      <c r="N67" s="239"/>
      <c r="O67" s="239"/>
    </row>
    <row r="68" spans="2:16" x14ac:dyDescent="0.45">
      <c r="B68" s="49" t="s">
        <v>214</v>
      </c>
      <c r="C68" s="44" t="s">
        <v>215</v>
      </c>
      <c r="D68" s="44" t="s">
        <v>216</v>
      </c>
      <c r="E68" s="44" t="s">
        <v>217</v>
      </c>
      <c r="F68" s="44" t="s">
        <v>218</v>
      </c>
      <c r="G68" s="44" t="s">
        <v>219</v>
      </c>
      <c r="H68" s="44" t="s">
        <v>220</v>
      </c>
      <c r="I68" s="44" t="s">
        <v>221</v>
      </c>
      <c r="J68" s="44" t="s">
        <v>222</v>
      </c>
      <c r="K68" s="44" t="s">
        <v>223</v>
      </c>
      <c r="L68" s="44" t="s">
        <v>224</v>
      </c>
      <c r="M68" s="44" t="s">
        <v>225</v>
      </c>
      <c r="N68" s="44" t="s">
        <v>226</v>
      </c>
      <c r="O68" s="44" t="s">
        <v>32</v>
      </c>
      <c r="P68" s="251" t="s">
        <v>250</v>
      </c>
    </row>
    <row r="69" spans="2:16" x14ac:dyDescent="0.45">
      <c r="B69" s="49" t="s">
        <v>227</v>
      </c>
      <c r="C69" s="213">
        <f>($L$10+$L$17)/3</f>
        <v>11500</v>
      </c>
      <c r="D69" s="213">
        <f t="shared" ref="D69:E69" si="12">($L$10+$L$17)/3</f>
        <v>11500</v>
      </c>
      <c r="E69" s="213">
        <f t="shared" si="12"/>
        <v>11500</v>
      </c>
      <c r="F69" s="210">
        <f>($M$10+$M$17)/3</f>
        <v>11500</v>
      </c>
      <c r="G69" s="210">
        <f t="shared" ref="G69:H69" si="13">($M$10+$M$17)/3</f>
        <v>11500</v>
      </c>
      <c r="H69" s="210">
        <f t="shared" si="13"/>
        <v>11500</v>
      </c>
      <c r="I69" s="210">
        <f>($N$10+$N$17)/3</f>
        <v>12500</v>
      </c>
      <c r="J69" s="210">
        <f t="shared" ref="J69:K69" si="14">($N$10+$N$17)/3</f>
        <v>12500</v>
      </c>
      <c r="K69" s="210">
        <f t="shared" si="14"/>
        <v>12500</v>
      </c>
      <c r="L69" s="210">
        <f>($O$10+$O$17)/4</f>
        <v>12500</v>
      </c>
      <c r="M69" s="210">
        <f>($O$10+$O$17)/4</f>
        <v>12500</v>
      </c>
      <c r="N69" s="210">
        <f>($O$10+$O$17)/2</f>
        <v>25000</v>
      </c>
      <c r="O69" s="205">
        <f>SUM(C69:N69)</f>
        <v>156500</v>
      </c>
      <c r="P69" s="251"/>
    </row>
    <row r="70" spans="2:16" x14ac:dyDescent="0.45">
      <c r="B70" s="49" t="s">
        <v>228</v>
      </c>
      <c r="C70" s="207">
        <f>$L$20/3</f>
        <v>7005000</v>
      </c>
      <c r="D70" s="207">
        <f t="shared" ref="D70:E70" si="15">$L$20/3</f>
        <v>7005000</v>
      </c>
      <c r="E70" s="207">
        <f t="shared" si="15"/>
        <v>7005000</v>
      </c>
      <c r="F70" s="214">
        <f>$M$20/3</f>
        <v>7005000</v>
      </c>
      <c r="G70" s="214">
        <f t="shared" ref="G70:H70" si="16">$M$20/3</f>
        <v>7005000</v>
      </c>
      <c r="H70" s="214">
        <f t="shared" si="16"/>
        <v>7005000</v>
      </c>
      <c r="I70" s="208">
        <f>$N$20/3</f>
        <v>7625000</v>
      </c>
      <c r="J70" s="208">
        <f t="shared" ref="J70:K70" si="17">$N$20/3</f>
        <v>7625000</v>
      </c>
      <c r="K70" s="208">
        <f t="shared" si="17"/>
        <v>7625000</v>
      </c>
      <c r="L70" s="214">
        <f>$O$20/4</f>
        <v>7625000</v>
      </c>
      <c r="M70" s="214">
        <f t="shared" ref="M70" si="18">$O$20/4</f>
        <v>7625000</v>
      </c>
      <c r="N70" s="214">
        <f>$O$20/2</f>
        <v>15250000</v>
      </c>
      <c r="O70" s="206">
        <f>SUM(C70:N70)</f>
        <v>95405000</v>
      </c>
      <c r="P70" s="251"/>
    </row>
    <row r="71" spans="2:16" x14ac:dyDescent="0.45">
      <c r="P71" s="251"/>
    </row>
    <row r="72" spans="2:16" x14ac:dyDescent="0.45">
      <c r="B72" s="49" t="s">
        <v>229</v>
      </c>
      <c r="P72" s="251"/>
    </row>
    <row r="73" spans="2:16" x14ac:dyDescent="0.45">
      <c r="B73" s="49" t="s">
        <v>233</v>
      </c>
      <c r="C73" s="215">
        <f>C$70*0.6</f>
        <v>4203000</v>
      </c>
      <c r="D73" s="215"/>
      <c r="E73" s="215"/>
      <c r="F73" s="215">
        <f>C$70*0.4</f>
        <v>2802000</v>
      </c>
      <c r="G73" s="215"/>
      <c r="H73" s="215"/>
      <c r="I73" s="215"/>
      <c r="J73" s="215"/>
      <c r="K73" s="215"/>
      <c r="L73" s="215"/>
      <c r="M73" s="215"/>
      <c r="N73" s="215"/>
      <c r="O73" s="216">
        <f>C73+F73</f>
        <v>7005000</v>
      </c>
      <c r="P73" s="251"/>
    </row>
    <row r="74" spans="2:16" x14ac:dyDescent="0.45">
      <c r="B74" s="49" t="s">
        <v>234</v>
      </c>
      <c r="C74" s="215"/>
      <c r="D74" s="215">
        <f>D$70*0.6</f>
        <v>4203000</v>
      </c>
      <c r="E74" s="215"/>
      <c r="F74" s="215"/>
      <c r="G74" s="215">
        <f>D$70*0.4</f>
        <v>2802000</v>
      </c>
      <c r="H74" s="215"/>
      <c r="I74" s="215"/>
      <c r="J74" s="215"/>
      <c r="K74" s="215"/>
      <c r="L74" s="215"/>
      <c r="M74" s="215"/>
      <c r="N74" s="215"/>
      <c r="O74" s="216">
        <f>D74+G74</f>
        <v>7005000</v>
      </c>
      <c r="P74" s="251"/>
    </row>
    <row r="75" spans="2:16" x14ac:dyDescent="0.45">
      <c r="B75" s="49" t="s">
        <v>235</v>
      </c>
      <c r="C75" s="215"/>
      <c r="D75" s="215"/>
      <c r="E75" s="215">
        <f>E$70*0.6</f>
        <v>4203000</v>
      </c>
      <c r="F75" s="215"/>
      <c r="G75" s="215"/>
      <c r="H75" s="215">
        <f>E$70*0.4</f>
        <v>2802000</v>
      </c>
      <c r="I75" s="215"/>
      <c r="J75" s="215"/>
      <c r="K75" s="215"/>
      <c r="L75" s="215"/>
      <c r="M75" s="215"/>
      <c r="N75" s="215"/>
      <c r="O75" s="216">
        <f>E75+H75</f>
        <v>7005000</v>
      </c>
      <c r="P75" s="251"/>
    </row>
    <row r="76" spans="2:16" x14ac:dyDescent="0.45">
      <c r="B76" s="49" t="s">
        <v>236</v>
      </c>
      <c r="C76" s="215"/>
      <c r="D76" s="215"/>
      <c r="E76" s="215"/>
      <c r="F76" s="215">
        <f>F$70*0.6</f>
        <v>4203000</v>
      </c>
      <c r="G76" s="215"/>
      <c r="H76" s="215"/>
      <c r="I76" s="215">
        <f>F$70*0.4</f>
        <v>2802000</v>
      </c>
      <c r="J76" s="215"/>
      <c r="K76" s="215"/>
      <c r="L76" s="215"/>
      <c r="M76" s="215"/>
      <c r="N76" s="215"/>
      <c r="O76" s="216">
        <f>F76+I76</f>
        <v>7005000</v>
      </c>
      <c r="P76" s="251"/>
    </row>
    <row r="77" spans="2:16" x14ac:dyDescent="0.45">
      <c r="B77" s="49" t="s">
        <v>237</v>
      </c>
      <c r="C77" s="215"/>
      <c r="D77" s="215"/>
      <c r="E77" s="215"/>
      <c r="F77" s="215"/>
      <c r="G77" s="215">
        <f>G$70*0.6</f>
        <v>4203000</v>
      </c>
      <c r="H77" s="215"/>
      <c r="I77" s="215"/>
      <c r="J77" s="215">
        <f>G$70*0.4</f>
        <v>2802000</v>
      </c>
      <c r="K77" s="215"/>
      <c r="L77" s="215"/>
      <c r="M77" s="215"/>
      <c r="N77" s="215"/>
      <c r="O77" s="216">
        <f>G77+J77</f>
        <v>7005000</v>
      </c>
      <c r="P77" s="251"/>
    </row>
    <row r="78" spans="2:16" x14ac:dyDescent="0.45">
      <c r="B78" s="49" t="s">
        <v>238</v>
      </c>
      <c r="C78" s="215"/>
      <c r="D78" s="215"/>
      <c r="E78" s="215"/>
      <c r="F78" s="215"/>
      <c r="G78" s="215"/>
      <c r="H78" s="215">
        <f>H$70*0.6</f>
        <v>4203000</v>
      </c>
      <c r="I78" s="215"/>
      <c r="J78" s="215"/>
      <c r="K78" s="215">
        <f>H$70*0.4</f>
        <v>2802000</v>
      </c>
      <c r="L78" s="215"/>
      <c r="M78" s="215"/>
      <c r="N78" s="215"/>
      <c r="O78" s="216">
        <f>H78+K78</f>
        <v>7005000</v>
      </c>
      <c r="P78" s="251"/>
    </row>
    <row r="79" spans="2:16" x14ac:dyDescent="0.45">
      <c r="B79" s="49" t="s">
        <v>239</v>
      </c>
      <c r="C79" s="215"/>
      <c r="D79" s="215"/>
      <c r="E79" s="215"/>
      <c r="F79" s="215"/>
      <c r="G79" s="215"/>
      <c r="H79" s="215"/>
      <c r="I79" s="215">
        <f>I$70*0.6</f>
        <v>4575000</v>
      </c>
      <c r="J79" s="215"/>
      <c r="K79" s="215"/>
      <c r="L79" s="215">
        <f>I$70*0.4</f>
        <v>3050000</v>
      </c>
      <c r="M79" s="215"/>
      <c r="N79" s="215"/>
      <c r="O79" s="216">
        <f>I79+L79</f>
        <v>7625000</v>
      </c>
      <c r="P79" s="251"/>
    </row>
    <row r="80" spans="2:16" x14ac:dyDescent="0.45">
      <c r="B80" s="49" t="s">
        <v>240</v>
      </c>
      <c r="C80" s="215"/>
      <c r="D80" s="215"/>
      <c r="E80" s="215"/>
      <c r="F80" s="215"/>
      <c r="G80" s="215"/>
      <c r="H80" s="215"/>
      <c r="I80" s="215"/>
      <c r="J80" s="215">
        <f>J$70*0.6</f>
        <v>4575000</v>
      </c>
      <c r="K80" s="215"/>
      <c r="L80" s="215"/>
      <c r="M80" s="215">
        <f>J$70*0.4</f>
        <v>3050000</v>
      </c>
      <c r="N80" s="215"/>
      <c r="O80" s="216">
        <f>J80+M80</f>
        <v>7625000</v>
      </c>
      <c r="P80" s="251"/>
    </row>
    <row r="81" spans="2:16" x14ac:dyDescent="0.45">
      <c r="B81" s="49" t="s">
        <v>241</v>
      </c>
      <c r="C81" s="215"/>
      <c r="D81" s="215"/>
      <c r="E81" s="215"/>
      <c r="F81" s="215"/>
      <c r="G81" s="215"/>
      <c r="H81" s="215"/>
      <c r="I81" s="215"/>
      <c r="J81" s="215"/>
      <c r="K81" s="215">
        <f>K$70*0.6</f>
        <v>4575000</v>
      </c>
      <c r="L81" s="215"/>
      <c r="M81" s="215"/>
      <c r="N81" s="215">
        <f>K$70*0.4</f>
        <v>3050000</v>
      </c>
      <c r="O81" s="216">
        <f>K81+N81</f>
        <v>7625000</v>
      </c>
      <c r="P81" s="251"/>
    </row>
    <row r="82" spans="2:16" x14ac:dyDescent="0.45">
      <c r="B82" s="49" t="s">
        <v>242</v>
      </c>
      <c r="C82" s="215"/>
      <c r="D82" s="215"/>
      <c r="E82" s="215"/>
      <c r="F82" s="215"/>
      <c r="G82" s="215"/>
      <c r="H82" s="215"/>
      <c r="I82" s="215"/>
      <c r="J82" s="215"/>
      <c r="K82" s="215"/>
      <c r="L82" s="215">
        <f>L$70*0.6</f>
        <v>4575000</v>
      </c>
      <c r="M82" s="215"/>
      <c r="N82" s="215"/>
      <c r="O82" s="216">
        <f>L82</f>
        <v>4575000</v>
      </c>
      <c r="P82" s="251">
        <f>L70*0.4</f>
        <v>3050000</v>
      </c>
    </row>
    <row r="83" spans="2:16" x14ac:dyDescent="0.45">
      <c r="B83" s="49" t="s">
        <v>232</v>
      </c>
      <c r="C83" s="215"/>
      <c r="D83" s="215"/>
      <c r="E83" s="215"/>
      <c r="F83" s="215"/>
      <c r="G83" s="215"/>
      <c r="H83" s="215"/>
      <c r="I83" s="215"/>
      <c r="J83" s="215"/>
      <c r="K83" s="215"/>
      <c r="L83" s="215"/>
      <c r="M83" s="215">
        <f>M$70*0.6</f>
        <v>4575000</v>
      </c>
      <c r="N83" s="215"/>
      <c r="O83" s="216">
        <f>M83</f>
        <v>4575000</v>
      </c>
      <c r="P83" s="251">
        <f>M70*0.4</f>
        <v>3050000</v>
      </c>
    </row>
    <row r="84" spans="2:16" x14ac:dyDescent="0.45">
      <c r="B84" s="49" t="s">
        <v>231</v>
      </c>
      <c r="C84" s="215"/>
      <c r="D84" s="215"/>
      <c r="E84" s="215"/>
      <c r="F84" s="215"/>
      <c r="G84" s="215"/>
      <c r="H84" s="215"/>
      <c r="I84" s="215"/>
      <c r="J84" s="215"/>
      <c r="K84" s="215"/>
      <c r="L84" s="215"/>
      <c r="M84" s="215"/>
      <c r="N84" s="215">
        <f>N$70*0.6</f>
        <v>9150000</v>
      </c>
      <c r="O84" s="216">
        <f>N84</f>
        <v>9150000</v>
      </c>
      <c r="P84" s="251">
        <f>N70*0.4</f>
        <v>6100000</v>
      </c>
    </row>
    <row r="85" spans="2:16" x14ac:dyDescent="0.45">
      <c r="B85" s="49" t="s">
        <v>230</v>
      </c>
      <c r="C85" s="215">
        <f>C73</f>
        <v>4203000</v>
      </c>
      <c r="D85" s="215">
        <f>D74</f>
        <v>4203000</v>
      </c>
      <c r="E85" s="215">
        <f>E75</f>
        <v>4203000</v>
      </c>
      <c r="F85" s="215">
        <f>F73+F76</f>
        <v>7005000</v>
      </c>
      <c r="G85" s="215">
        <f>G74+G77</f>
        <v>7005000</v>
      </c>
      <c r="H85" s="215">
        <f>H75+H78</f>
        <v>7005000</v>
      </c>
      <c r="I85" s="215">
        <f>I76+I79</f>
        <v>7377000</v>
      </c>
      <c r="J85" s="215">
        <f>J77+J80</f>
        <v>7377000</v>
      </c>
      <c r="K85" s="215">
        <f>K78+K81</f>
        <v>7377000</v>
      </c>
      <c r="L85" s="215">
        <f>L79+L82</f>
        <v>7625000</v>
      </c>
      <c r="M85" s="215">
        <f>M80+M83</f>
        <v>7625000</v>
      </c>
      <c r="N85" s="215">
        <f>N81+N84</f>
        <v>12200000</v>
      </c>
      <c r="O85" s="217">
        <f>SUM(F85:N85)</f>
        <v>70596000</v>
      </c>
      <c r="P85" s="251"/>
    </row>
    <row r="86" spans="2:16" x14ac:dyDescent="0.45">
      <c r="B86" s="254" t="s">
        <v>245</v>
      </c>
      <c r="C86" s="251"/>
      <c r="D86" s="251"/>
      <c r="E86" s="251"/>
      <c r="F86" s="251"/>
      <c r="G86" s="251"/>
      <c r="H86" s="251"/>
      <c r="I86" s="251"/>
      <c r="J86" s="251"/>
      <c r="K86" s="251"/>
      <c r="L86" s="251"/>
      <c r="M86" s="251"/>
      <c r="N86" s="251"/>
      <c r="O86" s="251"/>
      <c r="P86" s="251">
        <f>SUM(P82:P84)</f>
        <v>12200000</v>
      </c>
    </row>
    <row r="88" spans="2:16" x14ac:dyDescent="0.45">
      <c r="B88" s="80"/>
      <c r="C88" s="245"/>
      <c r="D88" s="245"/>
      <c r="E88" s="245"/>
      <c r="F88" s="245"/>
      <c r="G88" s="245"/>
      <c r="H88" s="245"/>
      <c r="I88" s="245"/>
      <c r="J88" s="245"/>
      <c r="K88" s="245"/>
      <c r="L88" s="245"/>
      <c r="M88" s="245"/>
      <c r="N88" s="245"/>
      <c r="O88" s="245"/>
      <c r="P88" s="246"/>
    </row>
    <row r="89" spans="2:16" x14ac:dyDescent="0.45">
      <c r="B89" s="247"/>
      <c r="C89" s="55"/>
      <c r="D89" s="55"/>
      <c r="E89" s="55"/>
      <c r="F89" s="55"/>
      <c r="G89" s="55"/>
      <c r="H89" s="55"/>
      <c r="I89" s="55"/>
      <c r="J89" s="55"/>
      <c r="K89" s="55"/>
      <c r="L89" s="55"/>
      <c r="M89" s="55"/>
      <c r="N89" s="55"/>
      <c r="O89" s="55"/>
      <c r="P89" s="248"/>
    </row>
    <row r="90" spans="2:16" x14ac:dyDescent="0.45">
      <c r="B90" s="247"/>
      <c r="C90" s="55"/>
      <c r="D90" s="55"/>
      <c r="E90" s="55"/>
      <c r="F90" s="55"/>
      <c r="G90" s="55"/>
      <c r="H90" s="55"/>
      <c r="I90" s="55"/>
      <c r="J90" s="55"/>
      <c r="K90" s="55"/>
      <c r="L90" s="55"/>
      <c r="M90" s="55"/>
      <c r="N90" s="55"/>
      <c r="O90" s="55"/>
      <c r="P90" s="248"/>
    </row>
    <row r="91" spans="2:16" x14ac:dyDescent="0.45">
      <c r="B91" s="247"/>
      <c r="C91" s="55"/>
      <c r="D91" s="55"/>
      <c r="E91" s="55"/>
      <c r="F91" s="55"/>
      <c r="G91" s="55"/>
      <c r="H91" s="55"/>
      <c r="I91" s="55"/>
      <c r="J91" s="55"/>
      <c r="K91" s="55"/>
      <c r="L91" s="55"/>
      <c r="M91" s="55"/>
      <c r="N91" s="55"/>
      <c r="O91" s="55"/>
      <c r="P91" s="248"/>
    </row>
    <row r="92" spans="2:16" x14ac:dyDescent="0.45">
      <c r="B92" s="247"/>
      <c r="C92" s="55"/>
      <c r="D92" s="55"/>
      <c r="E92" s="55"/>
      <c r="F92" s="55"/>
      <c r="G92" s="55"/>
      <c r="H92" s="55"/>
      <c r="I92" s="55"/>
      <c r="J92" s="55"/>
      <c r="K92" s="55"/>
      <c r="L92" s="55"/>
      <c r="M92" s="55"/>
      <c r="N92" s="55"/>
      <c r="O92" s="55"/>
      <c r="P92" s="248"/>
    </row>
    <row r="93" spans="2:16" x14ac:dyDescent="0.45">
      <c r="B93" s="247"/>
      <c r="C93" s="55"/>
      <c r="D93" s="55"/>
      <c r="E93" s="55"/>
      <c r="F93" s="55"/>
      <c r="G93" s="55"/>
      <c r="H93" s="55"/>
      <c r="I93" s="55"/>
      <c r="J93" s="55"/>
      <c r="K93" s="55"/>
      <c r="L93" s="55"/>
      <c r="M93" s="55"/>
      <c r="N93" s="55"/>
      <c r="O93" s="55"/>
      <c r="P93" s="248"/>
    </row>
    <row r="94" spans="2:16" x14ac:dyDescent="0.45">
      <c r="B94" s="247"/>
      <c r="C94" s="55"/>
      <c r="D94" s="55"/>
      <c r="E94" s="55"/>
      <c r="F94" s="55"/>
      <c r="G94" s="55"/>
      <c r="H94" s="55"/>
      <c r="I94" s="55"/>
      <c r="J94" s="55"/>
      <c r="K94" s="55"/>
      <c r="L94" s="55"/>
      <c r="M94" s="55"/>
      <c r="N94" s="55"/>
      <c r="O94" s="55"/>
      <c r="P94" s="248"/>
    </row>
    <row r="95" spans="2:16" x14ac:dyDescent="0.45">
      <c r="B95" s="247"/>
      <c r="C95" s="55"/>
      <c r="D95" s="55"/>
      <c r="E95" s="55"/>
      <c r="F95" s="55"/>
      <c r="G95" s="55"/>
      <c r="H95" s="55"/>
      <c r="I95" s="55"/>
      <c r="J95" s="55"/>
      <c r="K95" s="55"/>
      <c r="L95" s="55"/>
      <c r="M95" s="55"/>
      <c r="N95" s="55"/>
      <c r="O95" s="55"/>
      <c r="P95" s="248"/>
    </row>
    <row r="96" spans="2:16" x14ac:dyDescent="0.45">
      <c r="B96" s="247"/>
      <c r="C96" s="55"/>
      <c r="D96" s="55"/>
      <c r="E96" s="55"/>
      <c r="F96" s="55"/>
      <c r="G96" s="55"/>
      <c r="H96" s="55"/>
      <c r="I96" s="55"/>
      <c r="J96" s="55"/>
      <c r="K96" s="55"/>
      <c r="L96" s="55"/>
      <c r="M96" s="55"/>
      <c r="N96" s="55"/>
      <c r="O96" s="55"/>
      <c r="P96" s="248"/>
    </row>
    <row r="97" spans="2:16" x14ac:dyDescent="0.45">
      <c r="B97" s="247"/>
      <c r="C97" s="55"/>
      <c r="D97" s="55"/>
      <c r="E97" s="55"/>
      <c r="F97" s="55"/>
      <c r="G97" s="55"/>
      <c r="H97" s="55"/>
      <c r="I97" s="55"/>
      <c r="J97" s="55"/>
      <c r="K97" s="55"/>
      <c r="L97" s="55"/>
      <c r="M97" s="55"/>
      <c r="N97" s="55"/>
      <c r="O97" s="55"/>
      <c r="P97" s="248"/>
    </row>
    <row r="98" spans="2:16" x14ac:dyDescent="0.45">
      <c r="B98" s="247"/>
      <c r="C98" s="55"/>
      <c r="D98" s="55"/>
      <c r="E98" s="55"/>
      <c r="F98" s="55"/>
      <c r="G98" s="55"/>
      <c r="H98" s="55"/>
      <c r="I98" s="55"/>
      <c r="J98" s="55"/>
      <c r="K98" s="55"/>
      <c r="L98" s="55"/>
      <c r="M98" s="55"/>
      <c r="N98" s="55"/>
      <c r="O98" s="55"/>
      <c r="P98" s="248"/>
    </row>
    <row r="99" spans="2:16" x14ac:dyDescent="0.45">
      <c r="B99" s="247"/>
      <c r="C99" s="55"/>
      <c r="D99" s="55"/>
      <c r="E99" s="55"/>
      <c r="F99" s="55"/>
      <c r="G99" s="55"/>
      <c r="H99" s="55"/>
      <c r="I99" s="55"/>
      <c r="J99" s="55"/>
      <c r="K99" s="55"/>
      <c r="L99" s="55"/>
      <c r="M99" s="55"/>
      <c r="N99" s="55"/>
      <c r="O99" s="55"/>
      <c r="P99" s="248"/>
    </row>
    <row r="100" spans="2:16" x14ac:dyDescent="0.45">
      <c r="B100" s="247"/>
      <c r="C100" s="55"/>
      <c r="D100" s="55"/>
      <c r="E100" s="55"/>
      <c r="F100" s="55"/>
      <c r="G100" s="55"/>
      <c r="H100" s="55"/>
      <c r="I100" s="55"/>
      <c r="J100" s="55"/>
      <c r="K100" s="55"/>
      <c r="L100" s="55"/>
      <c r="M100" s="55"/>
      <c r="N100" s="55"/>
      <c r="O100" s="55"/>
      <c r="P100" s="248"/>
    </row>
    <row r="101" spans="2:16" x14ac:dyDescent="0.45">
      <c r="B101" s="247"/>
      <c r="C101" s="55"/>
      <c r="D101" s="55"/>
      <c r="E101" s="55"/>
      <c r="F101" s="55"/>
      <c r="G101" s="55"/>
      <c r="H101" s="55"/>
      <c r="I101" s="55"/>
      <c r="J101" s="55"/>
      <c r="K101" s="55"/>
      <c r="L101" s="55"/>
      <c r="M101" s="55"/>
      <c r="N101" s="55"/>
      <c r="O101" s="55"/>
      <c r="P101" s="248"/>
    </row>
    <row r="102" spans="2:16" x14ac:dyDescent="0.45">
      <c r="B102" s="247"/>
      <c r="C102" s="55"/>
      <c r="D102" s="55"/>
      <c r="E102" s="55"/>
      <c r="F102" s="55"/>
      <c r="G102" s="55"/>
      <c r="H102" s="55"/>
      <c r="I102" s="55"/>
      <c r="J102" s="55"/>
      <c r="K102" s="55"/>
      <c r="L102" s="55"/>
      <c r="M102" s="55"/>
      <c r="N102" s="55"/>
      <c r="O102" s="55"/>
      <c r="P102" s="248"/>
    </row>
    <row r="103" spans="2:16" x14ac:dyDescent="0.45">
      <c r="B103" s="247"/>
      <c r="C103" s="55"/>
      <c r="D103" s="55"/>
      <c r="E103" s="55"/>
      <c r="F103" s="55"/>
      <c r="G103" s="55"/>
      <c r="H103" s="55"/>
      <c r="I103" s="55"/>
      <c r="J103" s="55"/>
      <c r="K103" s="55"/>
      <c r="L103" s="55"/>
      <c r="M103" s="55"/>
      <c r="N103" s="55"/>
      <c r="O103" s="55"/>
      <c r="P103" s="248"/>
    </row>
    <row r="104" spans="2:16" x14ac:dyDescent="0.45">
      <c r="B104" s="247"/>
      <c r="C104" s="55"/>
      <c r="D104" s="55"/>
      <c r="E104" s="55"/>
      <c r="F104" s="55"/>
      <c r="G104" s="55"/>
      <c r="H104" s="55"/>
      <c r="I104" s="55"/>
      <c r="J104" s="55"/>
      <c r="K104" s="55"/>
      <c r="L104" s="55"/>
      <c r="M104" s="55"/>
      <c r="N104" s="55"/>
      <c r="O104" s="55"/>
      <c r="P104" s="248"/>
    </row>
    <row r="105" spans="2:16" x14ac:dyDescent="0.45">
      <c r="B105" s="247"/>
      <c r="C105" s="55"/>
      <c r="D105" s="55"/>
      <c r="E105" s="55"/>
      <c r="F105" s="55"/>
      <c r="G105" s="55"/>
      <c r="H105" s="55"/>
      <c r="I105" s="55"/>
      <c r="J105" s="55"/>
      <c r="K105" s="55"/>
      <c r="L105" s="55"/>
      <c r="M105" s="55"/>
      <c r="N105" s="55"/>
      <c r="O105" s="55"/>
      <c r="P105" s="248"/>
    </row>
    <row r="106" spans="2:16" x14ac:dyDescent="0.45">
      <c r="B106" s="247"/>
      <c r="C106" s="55"/>
      <c r="D106" s="55"/>
      <c r="E106" s="55"/>
      <c r="F106" s="55"/>
      <c r="G106" s="55"/>
      <c r="H106" s="55"/>
      <c r="I106" s="55"/>
      <c r="J106" s="55"/>
      <c r="K106" s="55"/>
      <c r="L106" s="55"/>
      <c r="M106" s="55"/>
      <c r="N106" s="55"/>
      <c r="O106" s="55"/>
      <c r="P106" s="248"/>
    </row>
    <row r="107" spans="2:16" x14ac:dyDescent="0.45">
      <c r="B107" s="247"/>
      <c r="C107" s="55"/>
      <c r="D107" s="55"/>
      <c r="E107" s="55"/>
      <c r="F107" s="55"/>
      <c r="G107" s="55"/>
      <c r="H107" s="55"/>
      <c r="I107" s="55"/>
      <c r="J107" s="55"/>
      <c r="K107" s="55"/>
      <c r="L107" s="55"/>
      <c r="M107" s="55"/>
      <c r="N107" s="55"/>
      <c r="O107" s="55"/>
      <c r="P107" s="248"/>
    </row>
    <row r="108" spans="2:16" x14ac:dyDescent="0.45">
      <c r="B108" s="247"/>
      <c r="C108" s="55"/>
      <c r="D108" s="55"/>
      <c r="E108" s="55"/>
      <c r="F108" s="55"/>
      <c r="G108" s="55"/>
      <c r="H108" s="55"/>
      <c r="I108" s="55"/>
      <c r="J108" s="55"/>
      <c r="K108" s="55"/>
      <c r="L108" s="55"/>
      <c r="M108" s="55"/>
      <c r="N108" s="55"/>
      <c r="O108" s="55"/>
      <c r="P108" s="248"/>
    </row>
    <row r="109" spans="2:16" x14ac:dyDescent="0.45">
      <c r="B109" s="247"/>
      <c r="C109" s="55"/>
      <c r="D109" s="55"/>
      <c r="E109" s="55"/>
      <c r="F109" s="55"/>
      <c r="G109" s="55"/>
      <c r="H109" s="55"/>
      <c r="I109" s="55"/>
      <c r="J109" s="55"/>
      <c r="K109" s="55"/>
      <c r="L109" s="55"/>
      <c r="M109" s="55"/>
      <c r="N109" s="55"/>
      <c r="O109" s="55"/>
      <c r="P109" s="248"/>
    </row>
    <row r="110" spans="2:16" x14ac:dyDescent="0.45">
      <c r="B110" s="247"/>
      <c r="C110" s="55"/>
      <c r="D110" s="55"/>
      <c r="E110" s="55"/>
      <c r="F110" s="55"/>
      <c r="G110" s="55"/>
      <c r="H110" s="55"/>
      <c r="I110" s="55"/>
      <c r="J110" s="55"/>
      <c r="K110" s="55"/>
      <c r="L110" s="55"/>
      <c r="M110" s="55"/>
      <c r="N110" s="55"/>
      <c r="O110" s="55"/>
      <c r="P110" s="248"/>
    </row>
    <row r="111" spans="2:16" x14ac:dyDescent="0.45">
      <c r="B111" s="247"/>
      <c r="C111" s="55"/>
      <c r="D111" s="55"/>
      <c r="E111" s="55"/>
      <c r="F111" s="55"/>
      <c r="G111" s="55"/>
      <c r="H111" s="55"/>
      <c r="I111" s="55"/>
      <c r="J111" s="55"/>
      <c r="K111" s="55"/>
      <c r="L111" s="55"/>
      <c r="M111" s="55"/>
      <c r="N111" s="55"/>
      <c r="O111" s="55"/>
      <c r="P111" s="248"/>
    </row>
    <row r="112" spans="2:16" x14ac:dyDescent="0.45">
      <c r="B112" s="247"/>
      <c r="C112" s="55"/>
      <c r="D112" s="55"/>
      <c r="E112" s="55"/>
      <c r="F112" s="55"/>
      <c r="G112" s="55"/>
      <c r="H112" s="55"/>
      <c r="I112" s="55"/>
      <c r="J112" s="55"/>
      <c r="K112" s="55"/>
      <c r="L112" s="55"/>
      <c r="M112" s="55"/>
      <c r="N112" s="55"/>
      <c r="O112" s="55"/>
      <c r="P112" s="248"/>
    </row>
    <row r="113" spans="2:16" x14ac:dyDescent="0.45">
      <c r="B113" s="247"/>
      <c r="C113" s="55"/>
      <c r="D113" s="55"/>
      <c r="E113" s="55"/>
      <c r="F113" s="55"/>
      <c r="G113" s="55"/>
      <c r="H113" s="55"/>
      <c r="I113" s="55"/>
      <c r="J113" s="55"/>
      <c r="K113" s="55"/>
      <c r="L113" s="55"/>
      <c r="M113" s="55"/>
      <c r="N113" s="55"/>
      <c r="O113" s="55"/>
      <c r="P113" s="248"/>
    </row>
    <row r="114" spans="2:16" x14ac:dyDescent="0.45">
      <c r="B114" s="247"/>
      <c r="C114" s="55"/>
      <c r="D114" s="55"/>
      <c r="E114" s="55"/>
      <c r="F114" s="55"/>
      <c r="G114" s="55"/>
      <c r="H114" s="55"/>
      <c r="I114" s="55"/>
      <c r="J114" s="55"/>
      <c r="K114" s="55"/>
      <c r="L114" s="55"/>
      <c r="M114" s="55"/>
      <c r="N114" s="55"/>
      <c r="O114" s="55"/>
      <c r="P114" s="248"/>
    </row>
    <row r="115" spans="2:16" x14ac:dyDescent="0.45">
      <c r="B115" s="247"/>
      <c r="C115" s="55"/>
      <c r="D115" s="55"/>
      <c r="E115" s="55"/>
      <c r="F115" s="55"/>
      <c r="G115" s="55"/>
      <c r="H115" s="55"/>
      <c r="I115" s="55"/>
      <c r="J115" s="55"/>
      <c r="K115" s="55"/>
      <c r="L115" s="55"/>
      <c r="M115" s="55"/>
      <c r="N115" s="55"/>
      <c r="O115" s="55"/>
      <c r="P115" s="248"/>
    </row>
    <row r="116" spans="2:16" x14ac:dyDescent="0.45">
      <c r="B116" s="247"/>
      <c r="C116" s="55"/>
      <c r="D116" s="55"/>
      <c r="E116" s="55"/>
      <c r="F116" s="55"/>
      <c r="G116" s="55"/>
      <c r="H116" s="55"/>
      <c r="I116" s="55"/>
      <c r="J116" s="55"/>
      <c r="K116" s="55"/>
      <c r="L116" s="55"/>
      <c r="M116" s="55"/>
      <c r="N116" s="55"/>
      <c r="O116" s="55"/>
      <c r="P116" s="248"/>
    </row>
    <row r="117" spans="2:16" x14ac:dyDescent="0.45">
      <c r="B117" s="247"/>
      <c r="C117" s="55"/>
      <c r="D117" s="55"/>
      <c r="E117" s="55"/>
      <c r="F117" s="55"/>
      <c r="G117" s="55"/>
      <c r="H117" s="55"/>
      <c r="I117" s="55"/>
      <c r="J117" s="55"/>
      <c r="K117" s="55"/>
      <c r="L117" s="55"/>
      <c r="M117" s="55"/>
      <c r="N117" s="55"/>
      <c r="O117" s="55"/>
      <c r="P117" s="248"/>
    </row>
    <row r="118" spans="2:16" x14ac:dyDescent="0.45">
      <c r="B118" s="247"/>
      <c r="C118" s="55"/>
      <c r="D118" s="55"/>
      <c r="E118" s="55"/>
      <c r="F118" s="55"/>
      <c r="G118" s="55"/>
      <c r="H118" s="55"/>
      <c r="I118" s="55"/>
      <c r="J118" s="55"/>
      <c r="K118" s="55"/>
      <c r="L118" s="55"/>
      <c r="M118" s="55"/>
      <c r="N118" s="55"/>
      <c r="O118" s="55"/>
      <c r="P118" s="248"/>
    </row>
    <row r="119" spans="2:16" x14ac:dyDescent="0.45">
      <c r="B119" s="247"/>
      <c r="C119" s="55"/>
      <c r="D119" s="55"/>
      <c r="E119" s="55"/>
      <c r="F119" s="55"/>
      <c r="G119" s="55"/>
      <c r="H119" s="55"/>
      <c r="I119" s="55"/>
      <c r="J119" s="55"/>
      <c r="K119" s="55"/>
      <c r="L119" s="55"/>
      <c r="M119" s="55"/>
      <c r="N119" s="55"/>
      <c r="O119" s="55"/>
      <c r="P119" s="248"/>
    </row>
    <row r="120" spans="2:16" x14ac:dyDescent="0.45">
      <c r="B120" s="247"/>
      <c r="C120" s="55"/>
      <c r="D120" s="55"/>
      <c r="E120" s="55"/>
      <c r="F120" s="55"/>
      <c r="G120" s="55"/>
      <c r="H120" s="55"/>
      <c r="I120" s="55"/>
      <c r="J120" s="55"/>
      <c r="K120" s="55"/>
      <c r="L120" s="55"/>
      <c r="M120" s="55"/>
      <c r="N120" s="55"/>
      <c r="O120" s="55"/>
      <c r="P120" s="248"/>
    </row>
    <row r="121" spans="2:16" x14ac:dyDescent="0.45">
      <c r="B121" s="247"/>
      <c r="C121" s="55"/>
      <c r="D121" s="55"/>
      <c r="E121" s="55"/>
      <c r="F121" s="55"/>
      <c r="G121" s="55"/>
      <c r="H121" s="55"/>
      <c r="I121" s="55"/>
      <c r="J121" s="55"/>
      <c r="K121" s="55"/>
      <c r="L121" s="55"/>
      <c r="M121" s="55"/>
      <c r="N121" s="55"/>
      <c r="O121" s="55"/>
      <c r="P121" s="248"/>
    </row>
    <row r="122" spans="2:16" x14ac:dyDescent="0.45">
      <c r="B122" s="247"/>
      <c r="C122" s="55"/>
      <c r="D122" s="55"/>
      <c r="E122" s="55"/>
      <c r="F122" s="55"/>
      <c r="G122" s="55"/>
      <c r="H122" s="55"/>
      <c r="I122" s="55"/>
      <c r="J122" s="55"/>
      <c r="K122" s="55"/>
      <c r="L122" s="55"/>
      <c r="M122" s="55"/>
      <c r="N122" s="55"/>
      <c r="O122" s="55"/>
      <c r="P122" s="248"/>
    </row>
    <row r="123" spans="2:16" x14ac:dyDescent="0.45">
      <c r="B123" s="247"/>
      <c r="C123" s="55"/>
      <c r="D123" s="55"/>
      <c r="E123" s="55"/>
      <c r="F123" s="55"/>
      <c r="G123" s="55"/>
      <c r="H123" s="55"/>
      <c r="I123" s="55"/>
      <c r="J123" s="55"/>
      <c r="K123" s="55"/>
      <c r="L123" s="55"/>
      <c r="M123" s="55"/>
      <c r="N123" s="55"/>
      <c r="O123" s="55"/>
      <c r="P123" s="248"/>
    </row>
    <row r="124" spans="2:16" x14ac:dyDescent="0.45">
      <c r="B124" s="247"/>
      <c r="C124" s="55"/>
      <c r="D124" s="55"/>
      <c r="E124" s="55"/>
      <c r="F124" s="55"/>
      <c r="G124" s="55"/>
      <c r="H124" s="55"/>
      <c r="I124" s="55"/>
      <c r="J124" s="55"/>
      <c r="K124" s="55"/>
      <c r="L124" s="55"/>
      <c r="M124" s="55"/>
      <c r="N124" s="55"/>
      <c r="O124" s="55"/>
      <c r="P124" s="248"/>
    </row>
    <row r="125" spans="2:16" x14ac:dyDescent="0.45">
      <c r="B125" s="247"/>
      <c r="C125" s="55"/>
      <c r="D125" s="55"/>
      <c r="E125" s="55"/>
      <c r="F125" s="55"/>
      <c r="G125" s="55"/>
      <c r="H125" s="55"/>
      <c r="I125" s="55"/>
      <c r="J125" s="55"/>
      <c r="K125" s="55"/>
      <c r="L125" s="55"/>
      <c r="M125" s="55"/>
      <c r="N125" s="55"/>
      <c r="O125" s="55"/>
      <c r="P125" s="248"/>
    </row>
    <row r="126" spans="2:16" x14ac:dyDescent="0.45">
      <c r="B126" s="247"/>
      <c r="C126" s="55"/>
      <c r="D126" s="55"/>
      <c r="E126" s="55"/>
      <c r="F126" s="55"/>
      <c r="G126" s="55"/>
      <c r="H126" s="55"/>
      <c r="I126" s="55"/>
      <c r="J126" s="55"/>
      <c r="K126" s="55"/>
      <c r="L126" s="55"/>
      <c r="M126" s="55"/>
      <c r="N126" s="55"/>
      <c r="O126" s="55"/>
      <c r="P126" s="248"/>
    </row>
    <row r="127" spans="2:16" x14ac:dyDescent="0.45">
      <c r="B127" s="247"/>
      <c r="C127" s="55"/>
      <c r="D127" s="55"/>
      <c r="E127" s="55"/>
      <c r="F127" s="55"/>
      <c r="G127" s="55"/>
      <c r="H127" s="55"/>
      <c r="I127" s="55"/>
      <c r="J127" s="55"/>
      <c r="K127" s="55"/>
      <c r="L127" s="55"/>
      <c r="M127" s="55"/>
      <c r="N127" s="55"/>
      <c r="O127" s="55"/>
      <c r="P127" s="248"/>
    </row>
    <row r="128" spans="2:16" x14ac:dyDescent="0.45">
      <c r="B128" s="247"/>
      <c r="C128" s="55"/>
      <c r="D128" s="55"/>
      <c r="E128" s="55"/>
      <c r="F128" s="55"/>
      <c r="G128" s="55"/>
      <c r="H128" s="55"/>
      <c r="I128" s="55"/>
      <c r="J128" s="55"/>
      <c r="K128" s="55"/>
      <c r="L128" s="55"/>
      <c r="M128" s="55"/>
      <c r="N128" s="55"/>
      <c r="O128" s="55"/>
      <c r="P128" s="248"/>
    </row>
    <row r="129" spans="2:16" x14ac:dyDescent="0.45">
      <c r="B129" s="247"/>
      <c r="C129" s="55"/>
      <c r="D129" s="55"/>
      <c r="E129" s="55"/>
      <c r="F129" s="55"/>
      <c r="G129" s="55"/>
      <c r="H129" s="55"/>
      <c r="I129" s="55"/>
      <c r="J129" s="55"/>
      <c r="K129" s="55"/>
      <c r="L129" s="55"/>
      <c r="M129" s="55"/>
      <c r="N129" s="55"/>
      <c r="O129" s="55"/>
      <c r="P129" s="248"/>
    </row>
    <row r="130" spans="2:16" x14ac:dyDescent="0.45">
      <c r="B130" s="247"/>
      <c r="C130" s="55"/>
      <c r="D130" s="55"/>
      <c r="E130" s="55"/>
      <c r="F130" s="55"/>
      <c r="G130" s="55"/>
      <c r="H130" s="55"/>
      <c r="I130" s="55"/>
      <c r="J130" s="55"/>
      <c r="K130" s="55"/>
      <c r="L130" s="55"/>
      <c r="M130" s="55"/>
      <c r="N130" s="55"/>
      <c r="O130" s="55"/>
      <c r="P130" s="248"/>
    </row>
    <row r="131" spans="2:16" x14ac:dyDescent="0.45">
      <c r="B131" s="247"/>
      <c r="C131" s="55"/>
      <c r="D131" s="55"/>
      <c r="E131" s="55"/>
      <c r="F131" s="55"/>
      <c r="G131" s="55"/>
      <c r="H131" s="55"/>
      <c r="I131" s="55"/>
      <c r="J131" s="55"/>
      <c r="K131" s="55"/>
      <c r="L131" s="55"/>
      <c r="M131" s="55"/>
      <c r="N131" s="55"/>
      <c r="O131" s="55"/>
      <c r="P131" s="248"/>
    </row>
    <row r="132" spans="2:16" x14ac:dyDescent="0.45">
      <c r="B132" s="247"/>
      <c r="C132" s="55"/>
      <c r="D132" s="55"/>
      <c r="E132" s="55"/>
      <c r="F132" s="55"/>
      <c r="G132" s="55"/>
      <c r="H132" s="55"/>
      <c r="I132" s="55"/>
      <c r="J132" s="55"/>
      <c r="K132" s="55"/>
      <c r="L132" s="55"/>
      <c r="M132" s="55"/>
      <c r="N132" s="55"/>
      <c r="O132" s="55"/>
      <c r="P132" s="248"/>
    </row>
    <row r="133" spans="2:16" x14ac:dyDescent="0.45">
      <c r="B133" s="247"/>
      <c r="C133" s="55"/>
      <c r="D133" s="55"/>
      <c r="E133" s="55"/>
      <c r="F133" s="55"/>
      <c r="G133" s="55"/>
      <c r="H133" s="55"/>
      <c r="I133" s="55"/>
      <c r="J133" s="55"/>
      <c r="K133" s="55"/>
      <c r="L133" s="55"/>
      <c r="M133" s="55"/>
      <c r="N133" s="55"/>
      <c r="O133" s="55"/>
      <c r="P133" s="248"/>
    </row>
    <row r="134" spans="2:16" x14ac:dyDescent="0.45">
      <c r="B134" s="247"/>
      <c r="C134" s="55"/>
      <c r="D134" s="55"/>
      <c r="E134" s="55"/>
      <c r="F134" s="55"/>
      <c r="G134" s="55"/>
      <c r="H134" s="55"/>
      <c r="I134" s="55"/>
      <c r="J134" s="55"/>
      <c r="K134" s="55"/>
      <c r="L134" s="55"/>
      <c r="M134" s="55"/>
      <c r="N134" s="55"/>
      <c r="O134" s="55"/>
      <c r="P134" s="248"/>
    </row>
    <row r="135" spans="2:16" x14ac:dyDescent="0.45">
      <c r="B135" s="247"/>
      <c r="C135" s="55"/>
      <c r="D135" s="55"/>
      <c r="E135" s="55"/>
      <c r="F135" s="55"/>
      <c r="G135" s="55"/>
      <c r="H135" s="55"/>
      <c r="I135" s="55"/>
      <c r="J135" s="55"/>
      <c r="K135" s="55"/>
      <c r="L135" s="55"/>
      <c r="M135" s="55"/>
      <c r="N135" s="55"/>
      <c r="O135" s="55"/>
      <c r="P135" s="248"/>
    </row>
    <row r="136" spans="2:16" x14ac:dyDescent="0.45">
      <c r="B136" s="247"/>
      <c r="C136" s="55"/>
      <c r="D136" s="55"/>
      <c r="E136" s="55"/>
      <c r="F136" s="55"/>
      <c r="G136" s="55"/>
      <c r="H136" s="55"/>
      <c r="I136" s="55"/>
      <c r="J136" s="55"/>
      <c r="K136" s="55"/>
      <c r="L136" s="55"/>
      <c r="M136" s="55"/>
      <c r="N136" s="55"/>
      <c r="O136" s="55"/>
      <c r="P136" s="248"/>
    </row>
    <row r="137" spans="2:16" x14ac:dyDescent="0.45">
      <c r="B137" s="247"/>
      <c r="C137" s="55"/>
      <c r="D137" s="55"/>
      <c r="E137" s="55"/>
      <c r="F137" s="55"/>
      <c r="G137" s="55"/>
      <c r="H137" s="55"/>
      <c r="I137" s="55"/>
      <c r="J137" s="55"/>
      <c r="K137" s="55"/>
      <c r="L137" s="55"/>
      <c r="M137" s="55"/>
      <c r="N137" s="55"/>
      <c r="O137" s="55"/>
      <c r="P137" s="248"/>
    </row>
    <row r="138" spans="2:16" x14ac:dyDescent="0.45">
      <c r="B138" s="247"/>
      <c r="C138" s="55"/>
      <c r="D138" s="55"/>
      <c r="E138" s="55"/>
      <c r="F138" s="55"/>
      <c r="G138" s="55"/>
      <c r="H138" s="55"/>
      <c r="I138" s="55"/>
      <c r="J138" s="55"/>
      <c r="K138" s="55"/>
      <c r="L138" s="55"/>
      <c r="M138" s="55"/>
      <c r="N138" s="55"/>
      <c r="O138" s="55"/>
      <c r="P138" s="248"/>
    </row>
    <row r="139" spans="2:16" x14ac:dyDescent="0.45">
      <c r="B139" s="247"/>
      <c r="C139" s="55"/>
      <c r="D139" s="55"/>
      <c r="E139" s="55"/>
      <c r="F139" s="55"/>
      <c r="G139" s="55"/>
      <c r="H139" s="55"/>
      <c r="I139" s="55"/>
      <c r="J139" s="55"/>
      <c r="K139" s="55"/>
      <c r="L139" s="55"/>
      <c r="M139" s="55"/>
      <c r="N139" s="55"/>
      <c r="O139" s="55"/>
      <c r="P139" s="248"/>
    </row>
    <row r="140" spans="2:16" x14ac:dyDescent="0.45">
      <c r="B140" s="247"/>
      <c r="C140" s="55"/>
      <c r="D140" s="55"/>
      <c r="E140" s="55"/>
      <c r="F140" s="55"/>
      <c r="G140" s="55"/>
      <c r="H140" s="55"/>
      <c r="I140" s="55"/>
      <c r="J140" s="55"/>
      <c r="K140" s="55"/>
      <c r="L140" s="55"/>
      <c r="M140" s="55"/>
      <c r="N140" s="55"/>
      <c r="O140" s="55"/>
      <c r="P140" s="248"/>
    </row>
    <row r="141" spans="2:16" x14ac:dyDescent="0.45">
      <c r="B141" s="247"/>
      <c r="C141" s="55"/>
      <c r="D141" s="55"/>
      <c r="E141" s="55"/>
      <c r="F141" s="55"/>
      <c r="G141" s="55"/>
      <c r="H141" s="55"/>
      <c r="I141" s="55"/>
      <c r="J141" s="55"/>
      <c r="K141" s="55"/>
      <c r="L141" s="55"/>
      <c r="M141" s="55"/>
      <c r="N141" s="55"/>
      <c r="O141" s="55"/>
      <c r="P141" s="248"/>
    </row>
    <row r="142" spans="2:16" x14ac:dyDescent="0.45">
      <c r="B142" s="247"/>
      <c r="C142" s="55"/>
      <c r="D142" s="55"/>
      <c r="E142" s="55"/>
      <c r="F142" s="55"/>
      <c r="G142" s="55"/>
      <c r="H142" s="55"/>
      <c r="I142" s="55"/>
      <c r="J142" s="55"/>
      <c r="K142" s="55"/>
      <c r="L142" s="55"/>
      <c r="M142" s="55"/>
      <c r="N142" s="55"/>
      <c r="O142" s="55"/>
      <c r="P142" s="248"/>
    </row>
    <row r="143" spans="2:16" x14ac:dyDescent="0.45">
      <c r="B143" s="247"/>
      <c r="C143" s="55"/>
      <c r="D143" s="55"/>
      <c r="E143" s="55"/>
      <c r="F143" s="55"/>
      <c r="G143" s="55"/>
      <c r="H143" s="55"/>
      <c r="I143" s="55"/>
      <c r="J143" s="55"/>
      <c r="K143" s="55"/>
      <c r="L143" s="55"/>
      <c r="M143" s="55"/>
      <c r="N143" s="55"/>
      <c r="O143" s="55"/>
      <c r="P143" s="248"/>
    </row>
    <row r="144" spans="2:16" x14ac:dyDescent="0.45">
      <c r="B144" s="247"/>
      <c r="C144" s="55"/>
      <c r="D144" s="55"/>
      <c r="E144" s="55"/>
      <c r="F144" s="55"/>
      <c r="G144" s="55"/>
      <c r="H144" s="55"/>
      <c r="I144" s="55"/>
      <c r="J144" s="55"/>
      <c r="K144" s="55"/>
      <c r="L144" s="55"/>
      <c r="M144" s="55"/>
      <c r="N144" s="55"/>
      <c r="O144" s="55"/>
      <c r="P144" s="248"/>
    </row>
    <row r="145" spans="2:16" x14ac:dyDescent="0.45">
      <c r="B145" s="247"/>
      <c r="C145" s="55"/>
      <c r="D145" s="55"/>
      <c r="E145" s="55"/>
      <c r="F145" s="55"/>
      <c r="G145" s="55"/>
      <c r="H145" s="55"/>
      <c r="I145" s="55"/>
      <c r="J145" s="55"/>
      <c r="K145" s="55"/>
      <c r="L145" s="55"/>
      <c r="M145" s="55"/>
      <c r="N145" s="55"/>
      <c r="O145" s="55"/>
      <c r="P145" s="248"/>
    </row>
    <row r="146" spans="2:16" x14ac:dyDescent="0.45">
      <c r="B146" s="247"/>
      <c r="C146" s="55"/>
      <c r="D146" s="55"/>
      <c r="E146" s="55"/>
      <c r="F146" s="55"/>
      <c r="G146" s="55"/>
      <c r="H146" s="55"/>
      <c r="I146" s="55"/>
      <c r="J146" s="55"/>
      <c r="K146" s="55"/>
      <c r="L146" s="55"/>
      <c r="M146" s="55"/>
      <c r="N146" s="55"/>
      <c r="O146" s="55"/>
      <c r="P146" s="248"/>
    </row>
    <row r="147" spans="2:16" x14ac:dyDescent="0.45">
      <c r="B147" s="247"/>
      <c r="C147" s="55"/>
      <c r="D147" s="55"/>
      <c r="E147" s="55"/>
      <c r="F147" s="55"/>
      <c r="G147" s="55"/>
      <c r="H147" s="55"/>
      <c r="I147" s="55"/>
      <c r="J147" s="55"/>
      <c r="K147" s="55"/>
      <c r="L147" s="55"/>
      <c r="M147" s="55"/>
      <c r="N147" s="55"/>
      <c r="O147" s="55"/>
      <c r="P147" s="248"/>
    </row>
    <row r="148" spans="2:16" x14ac:dyDescent="0.45">
      <c r="B148" s="247"/>
      <c r="C148" s="55"/>
      <c r="D148" s="55"/>
      <c r="E148" s="55"/>
      <c r="F148" s="55"/>
      <c r="G148" s="55"/>
      <c r="H148" s="55"/>
      <c r="I148" s="55"/>
      <c r="J148" s="55"/>
      <c r="K148" s="55"/>
      <c r="L148" s="55"/>
      <c r="M148" s="55"/>
      <c r="N148" s="55"/>
      <c r="O148" s="55"/>
      <c r="P148" s="248"/>
    </row>
    <row r="149" spans="2:16" x14ac:dyDescent="0.45">
      <c r="B149" s="247"/>
      <c r="C149" s="55"/>
      <c r="D149" s="55"/>
      <c r="E149" s="55"/>
      <c r="F149" s="55"/>
      <c r="G149" s="55"/>
      <c r="H149" s="55"/>
      <c r="I149" s="55"/>
      <c r="J149" s="55"/>
      <c r="K149" s="55"/>
      <c r="L149" s="55"/>
      <c r="M149" s="55"/>
      <c r="N149" s="55"/>
      <c r="O149" s="55"/>
      <c r="P149" s="248"/>
    </row>
    <row r="150" spans="2:16" x14ac:dyDescent="0.45">
      <c r="B150" s="247"/>
      <c r="C150" s="55"/>
      <c r="D150" s="55"/>
      <c r="E150" s="55"/>
      <c r="F150" s="55"/>
      <c r="G150" s="55"/>
      <c r="H150" s="55"/>
      <c r="I150" s="55"/>
      <c r="J150" s="55"/>
      <c r="K150" s="55"/>
      <c r="L150" s="55"/>
      <c r="M150" s="55"/>
      <c r="N150" s="55"/>
      <c r="O150" s="55"/>
      <c r="P150" s="248"/>
    </row>
    <row r="151" spans="2:16" x14ac:dyDescent="0.45">
      <c r="B151" s="247"/>
      <c r="C151" s="55"/>
      <c r="D151" s="55"/>
      <c r="E151" s="55"/>
      <c r="F151" s="55"/>
      <c r="G151" s="55"/>
      <c r="H151" s="55"/>
      <c r="I151" s="55"/>
      <c r="J151" s="55"/>
      <c r="K151" s="55"/>
      <c r="L151" s="55"/>
      <c r="M151" s="55"/>
      <c r="N151" s="55"/>
      <c r="O151" s="55"/>
      <c r="P151" s="248"/>
    </row>
    <row r="152" spans="2:16" x14ac:dyDescent="0.45">
      <c r="B152" s="247"/>
      <c r="C152" s="55"/>
      <c r="D152" s="55"/>
      <c r="E152" s="55"/>
      <c r="F152" s="55"/>
      <c r="G152" s="55"/>
      <c r="H152" s="55"/>
      <c r="I152" s="55"/>
      <c r="J152" s="55"/>
      <c r="K152" s="55"/>
      <c r="L152" s="55"/>
      <c r="M152" s="55"/>
      <c r="N152" s="55"/>
      <c r="O152" s="55"/>
      <c r="P152" s="248"/>
    </row>
    <row r="153" spans="2:16" x14ac:dyDescent="0.45">
      <c r="B153" s="247"/>
      <c r="C153" s="55"/>
      <c r="D153" s="55"/>
      <c r="E153" s="55"/>
      <c r="F153" s="55"/>
      <c r="G153" s="55"/>
      <c r="H153" s="55"/>
      <c r="I153" s="55"/>
      <c r="J153" s="55"/>
      <c r="K153" s="55"/>
      <c r="L153" s="55"/>
      <c r="M153" s="55"/>
      <c r="N153" s="55"/>
      <c r="O153" s="55"/>
      <c r="P153" s="248"/>
    </row>
    <row r="154" spans="2:16" x14ac:dyDescent="0.45">
      <c r="B154" s="247"/>
      <c r="C154" s="55"/>
      <c r="D154" s="55"/>
      <c r="E154" s="55"/>
      <c r="F154" s="55"/>
      <c r="G154" s="55"/>
      <c r="H154" s="55"/>
      <c r="I154" s="55"/>
      <c r="J154" s="55"/>
      <c r="K154" s="55"/>
      <c r="L154" s="55"/>
      <c r="M154" s="55"/>
      <c r="N154" s="55"/>
      <c r="O154" s="55"/>
      <c r="P154" s="248"/>
    </row>
    <row r="155" spans="2:16" x14ac:dyDescent="0.45">
      <c r="B155" s="82"/>
      <c r="C155" s="249"/>
      <c r="D155" s="249"/>
      <c r="E155" s="249"/>
      <c r="F155" s="249"/>
      <c r="G155" s="249"/>
      <c r="H155" s="249"/>
      <c r="I155" s="249"/>
      <c r="J155" s="249"/>
      <c r="K155" s="249"/>
      <c r="L155" s="249"/>
      <c r="M155" s="249"/>
      <c r="N155" s="249"/>
      <c r="O155" s="249"/>
      <c r="P155" s="250"/>
    </row>
  </sheetData>
  <mergeCells count="3">
    <mergeCell ref="B25:O25"/>
    <mergeCell ref="B46:O46"/>
    <mergeCell ref="B67:O67"/>
  </mergeCells>
  <phoneticPr fontId="16" type="noConversion"/>
  <pageMargins left="0.7" right="0.7" top="0.75" bottom="0.75" header="0.3" footer="0.3"/>
  <pageSetup paperSize="9" scale="6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topLeftCell="A31" zoomScale="72" zoomScaleNormal="81" workbookViewId="0">
      <selection activeCell="F49" sqref="F49"/>
    </sheetView>
  </sheetViews>
  <sheetFormatPr defaultColWidth="12.453125" defaultRowHeight="19.25" customHeight="1" x14ac:dyDescent="0.35"/>
  <cols>
    <col min="2" max="2" width="24" customWidth="1"/>
  </cols>
  <sheetData>
    <row r="1" spans="1:17" s="96" customFormat="1" ht="19.25" customHeight="1" x14ac:dyDescent="0.35">
      <c r="A1" s="28"/>
    </row>
    <row r="2" spans="1:17" s="96" customFormat="1" ht="19.25" customHeight="1" x14ac:dyDescent="0.35">
      <c r="A2" s="28"/>
    </row>
    <row r="3" spans="1:17" s="28" customFormat="1" ht="19.25" customHeight="1" x14ac:dyDescent="0.35"/>
    <row r="4" spans="1:17" s="96" customFormat="1" ht="37.25" customHeight="1" x14ac:dyDescent="0.8">
      <c r="A4" s="26" t="s">
        <v>53</v>
      </c>
    </row>
    <row r="5" spans="1:17" s="96" customFormat="1" ht="37.25" customHeight="1" x14ac:dyDescent="0.8">
      <c r="A5" s="26"/>
    </row>
    <row r="6" spans="1:17" s="49" customFormat="1" ht="18.5" x14ac:dyDescent="0.45">
      <c r="A6" s="50"/>
      <c r="B6" s="46" t="s">
        <v>33</v>
      </c>
      <c r="C6" s="47" t="s">
        <v>34</v>
      </c>
      <c r="D6" s="47" t="str">
        <f>'Sales Budget'!D6</f>
        <v>Q1, 2021</v>
      </c>
      <c r="E6" s="47" t="str">
        <f>'Sales Budget'!E6</f>
        <v>Q2, 2021</v>
      </c>
      <c r="F6" s="47" t="str">
        <f>'Sales Budget'!F6</f>
        <v>Q3, 2021</v>
      </c>
      <c r="G6" s="47" t="str">
        <f>'Sales Budget'!G6</f>
        <v>Q4, 2021</v>
      </c>
      <c r="H6" s="47" t="str">
        <f>'Sales Budget'!H6</f>
        <v>Q1, 2022</v>
      </c>
      <c r="I6" s="47" t="str">
        <f>'Sales Budget'!I6</f>
        <v>Q2, 2022</v>
      </c>
      <c r="J6" s="47" t="str">
        <f>'Sales Budget'!J6</f>
        <v>Q3, 2022</v>
      </c>
      <c r="K6" s="47" t="str">
        <f>'Sales Budget'!K6</f>
        <v>Q4, 2022</v>
      </c>
      <c r="L6" s="47" t="str">
        <f>'Sales Budget'!L6</f>
        <v>Q1, 2023</v>
      </c>
      <c r="M6" s="47" t="str">
        <f>'Sales Budget'!M6</f>
        <v>Q2, 2023</v>
      </c>
      <c r="N6" s="47" t="str">
        <f>'Sales Budget'!N6</f>
        <v>Q3, 2023</v>
      </c>
      <c r="O6" s="47" t="str">
        <f>'Sales Budget'!O6</f>
        <v>Q4, 2023</v>
      </c>
      <c r="P6" s="48"/>
    </row>
    <row r="7" spans="1:17" s="96" customFormat="1" ht="19.25" customHeight="1" x14ac:dyDescent="0.35">
      <c r="B7" s="129" t="s">
        <v>54</v>
      </c>
      <c r="C7" s="129"/>
      <c r="D7" s="146">
        <v>0</v>
      </c>
      <c r="E7" s="148">
        <v>21000</v>
      </c>
      <c r="F7" s="148">
        <v>23100</v>
      </c>
      <c r="G7" s="148">
        <v>28900</v>
      </c>
      <c r="H7" s="148">
        <v>22000</v>
      </c>
      <c r="I7" s="148">
        <v>23000</v>
      </c>
      <c r="J7" s="148">
        <v>24000</v>
      </c>
      <c r="K7" s="148">
        <v>30000</v>
      </c>
      <c r="L7" s="148">
        <v>24000</v>
      </c>
      <c r="M7" s="148">
        <v>24000</v>
      </c>
      <c r="N7" s="148">
        <v>26250</v>
      </c>
      <c r="O7" s="148">
        <v>35000</v>
      </c>
      <c r="P7" s="32"/>
      <c r="Q7" s="32"/>
    </row>
    <row r="8" spans="1:17" s="96" customFormat="1" ht="19.25" customHeight="1" x14ac:dyDescent="0.35">
      <c r="B8" s="129" t="s">
        <v>55</v>
      </c>
      <c r="C8" s="129"/>
      <c r="D8" s="129"/>
      <c r="E8" s="148">
        <f>E7*0.25</f>
        <v>5250</v>
      </c>
      <c r="F8" s="148">
        <f>F7*0.25</f>
        <v>5775</v>
      </c>
      <c r="G8" s="148">
        <f>G7*0.25</f>
        <v>7225</v>
      </c>
      <c r="H8" s="148">
        <f>H7*0.2</f>
        <v>4400</v>
      </c>
      <c r="I8" s="148">
        <f t="shared" ref="I8:K8" si="0">I7*0.2</f>
        <v>4600</v>
      </c>
      <c r="J8" s="148">
        <f t="shared" si="0"/>
        <v>4800</v>
      </c>
      <c r="K8" s="148">
        <f t="shared" si="0"/>
        <v>6000</v>
      </c>
      <c r="L8" s="148">
        <f>L7*0.15</f>
        <v>3600</v>
      </c>
      <c r="M8" s="148">
        <f t="shared" ref="M8:O8" si="1">M7*0.15</f>
        <v>3600</v>
      </c>
      <c r="N8" s="148">
        <f t="shared" si="1"/>
        <v>3937.5</v>
      </c>
      <c r="O8" s="148">
        <f t="shared" si="1"/>
        <v>5250</v>
      </c>
      <c r="P8" s="32"/>
      <c r="Q8" s="32"/>
    </row>
    <row r="9" spans="1:17" s="96" customFormat="1" ht="19.25" customHeight="1" x14ac:dyDescent="0.35">
      <c r="B9" s="2" t="s">
        <v>56</v>
      </c>
      <c r="C9" s="129"/>
      <c r="D9" s="129"/>
      <c r="E9" s="149">
        <f>E7+E8</f>
        <v>26250</v>
      </c>
      <c r="F9" s="149">
        <f t="shared" ref="F9:O9" si="2">F7+F8</f>
        <v>28875</v>
      </c>
      <c r="G9" s="149">
        <f t="shared" si="2"/>
        <v>36125</v>
      </c>
      <c r="H9" s="149">
        <f t="shared" si="2"/>
        <v>26400</v>
      </c>
      <c r="I9" s="149">
        <f t="shared" si="2"/>
        <v>27600</v>
      </c>
      <c r="J9" s="149">
        <f t="shared" si="2"/>
        <v>28800</v>
      </c>
      <c r="K9" s="149">
        <f t="shared" si="2"/>
        <v>36000</v>
      </c>
      <c r="L9" s="149">
        <f t="shared" si="2"/>
        <v>27600</v>
      </c>
      <c r="M9" s="149">
        <f t="shared" si="2"/>
        <v>27600</v>
      </c>
      <c r="N9" s="149">
        <f t="shared" si="2"/>
        <v>30187.5</v>
      </c>
      <c r="O9" s="149">
        <f t="shared" si="2"/>
        <v>40250</v>
      </c>
      <c r="P9" s="33"/>
      <c r="Q9" s="33"/>
    </row>
    <row r="10" spans="1:17" s="96" customFormat="1" ht="19.25" customHeight="1" x14ac:dyDescent="0.35">
      <c r="B10" s="129" t="s">
        <v>57</v>
      </c>
      <c r="C10" s="129"/>
      <c r="D10" s="146"/>
      <c r="E10" s="146">
        <v>0</v>
      </c>
      <c r="F10" s="146">
        <f>E8</f>
        <v>5250</v>
      </c>
      <c r="G10" s="146">
        <f t="shared" ref="G10:O10" si="3">F8</f>
        <v>5775</v>
      </c>
      <c r="H10" s="146">
        <f t="shared" si="3"/>
        <v>7225</v>
      </c>
      <c r="I10" s="146">
        <f t="shared" si="3"/>
        <v>4400</v>
      </c>
      <c r="J10" s="146">
        <f t="shared" si="3"/>
        <v>4600</v>
      </c>
      <c r="K10" s="146">
        <f t="shared" si="3"/>
        <v>4800</v>
      </c>
      <c r="L10" s="146">
        <f t="shared" si="3"/>
        <v>6000</v>
      </c>
      <c r="M10" s="146">
        <f t="shared" si="3"/>
        <v>3600</v>
      </c>
      <c r="N10" s="146">
        <f t="shared" si="3"/>
        <v>3600</v>
      </c>
      <c r="O10" s="146">
        <f t="shared" si="3"/>
        <v>3937.5</v>
      </c>
      <c r="P10" s="32"/>
      <c r="Q10" s="32"/>
    </row>
    <row r="11" spans="1:17" s="96" customFormat="1" ht="19.25" customHeight="1" x14ac:dyDescent="0.35">
      <c r="B11" s="2" t="s">
        <v>58</v>
      </c>
      <c r="C11" s="129"/>
      <c r="D11" s="147"/>
      <c r="E11" s="147">
        <f t="shared" ref="E11:O11" si="4">E9-E10</f>
        <v>26250</v>
      </c>
      <c r="F11" s="147">
        <f t="shared" si="4"/>
        <v>23625</v>
      </c>
      <c r="G11" s="147">
        <f t="shared" si="4"/>
        <v>30350</v>
      </c>
      <c r="H11" s="147">
        <f t="shared" si="4"/>
        <v>19175</v>
      </c>
      <c r="I11" s="147">
        <f t="shared" si="4"/>
        <v>23200</v>
      </c>
      <c r="J11" s="147">
        <f t="shared" si="4"/>
        <v>24200</v>
      </c>
      <c r="K11" s="147">
        <f t="shared" si="4"/>
        <v>31200</v>
      </c>
      <c r="L11" s="147">
        <f t="shared" si="4"/>
        <v>21600</v>
      </c>
      <c r="M11" s="147">
        <f t="shared" si="4"/>
        <v>24000</v>
      </c>
      <c r="N11" s="147">
        <f t="shared" si="4"/>
        <v>26587.5</v>
      </c>
      <c r="O11" s="147">
        <f t="shared" si="4"/>
        <v>36312.5</v>
      </c>
      <c r="P11" s="33"/>
      <c r="Q11" s="33"/>
    </row>
    <row r="12" spans="1:17" s="96" customFormat="1" ht="19.25" customHeight="1" x14ac:dyDescent="0.35">
      <c r="D12" s="32"/>
      <c r="E12" s="32"/>
      <c r="F12" s="32"/>
      <c r="G12" s="32"/>
      <c r="H12" s="32"/>
      <c r="I12" s="32"/>
      <c r="J12" s="32"/>
      <c r="K12" s="32"/>
      <c r="L12" s="32"/>
      <c r="M12" s="32"/>
      <c r="N12" s="32"/>
      <c r="O12" s="32"/>
      <c r="P12" s="32"/>
      <c r="Q12" s="32"/>
    </row>
    <row r="13" spans="1:17" s="96" customFormat="1" ht="19.25" customHeight="1" x14ac:dyDescent="0.35">
      <c r="D13" s="33"/>
      <c r="E13" s="33"/>
      <c r="F13" s="33"/>
      <c r="G13" s="33"/>
      <c r="H13" s="33"/>
      <c r="I13" s="33"/>
      <c r="J13" s="33"/>
      <c r="K13" s="33"/>
      <c r="L13" s="33"/>
      <c r="M13" s="33"/>
      <c r="N13" s="33"/>
      <c r="O13" s="33"/>
    </row>
    <row r="14" spans="1:17" s="96" customFormat="1" ht="19.25" customHeight="1" x14ac:dyDescent="0.35">
      <c r="D14" s="32"/>
      <c r="E14" s="32"/>
      <c r="F14" s="32"/>
      <c r="G14" s="32"/>
      <c r="H14" s="32"/>
      <c r="I14" s="32"/>
      <c r="J14" s="32"/>
      <c r="K14" s="32"/>
      <c r="L14" s="32"/>
      <c r="M14" s="32"/>
      <c r="N14" s="32"/>
      <c r="O14" s="32"/>
    </row>
    <row r="16" spans="1:17" s="96" customFormat="1" ht="4.25" customHeight="1" x14ac:dyDescent="0.35"/>
    <row r="17" spans="1:15" ht="35.5" customHeight="1" x14ac:dyDescent="0.7">
      <c r="A17" s="132" t="s">
        <v>59</v>
      </c>
      <c r="B17" s="96"/>
      <c r="C17" s="96"/>
      <c r="D17" s="96"/>
      <c r="E17" s="96"/>
      <c r="F17" s="96"/>
      <c r="G17" s="96"/>
      <c r="H17" s="96"/>
      <c r="I17" s="96"/>
      <c r="J17" s="96"/>
      <c r="K17" s="96"/>
      <c r="L17" s="96"/>
      <c r="M17" s="96"/>
      <c r="N17" s="96"/>
      <c r="O17" s="96"/>
    </row>
    <row r="20" spans="1:15" ht="19.25" customHeight="1" x14ac:dyDescent="0.35">
      <c r="A20" s="96"/>
      <c r="B20" s="46" t="s">
        <v>33</v>
      </c>
      <c r="C20" s="47" t="s">
        <v>34</v>
      </c>
      <c r="D20" s="47" t="s">
        <v>35</v>
      </c>
      <c r="E20" s="47" t="s">
        <v>36</v>
      </c>
      <c r="F20" s="47" t="s">
        <v>37</v>
      </c>
      <c r="G20" s="47" t="s">
        <v>38</v>
      </c>
      <c r="H20" s="47" t="s">
        <v>39</v>
      </c>
      <c r="I20" s="47" t="s">
        <v>40</v>
      </c>
      <c r="J20" s="47" t="s">
        <v>41</v>
      </c>
      <c r="K20" s="47" t="s">
        <v>42</v>
      </c>
      <c r="L20" s="47" t="s">
        <v>43</v>
      </c>
      <c r="M20" s="47" t="s">
        <v>44</v>
      </c>
      <c r="N20" s="47" t="s">
        <v>45</v>
      </c>
      <c r="O20" s="47" t="s">
        <v>46</v>
      </c>
    </row>
    <row r="21" spans="1:15" ht="19.25" customHeight="1" x14ac:dyDescent="0.35">
      <c r="A21" s="96"/>
      <c r="B21" s="129" t="s">
        <v>60</v>
      </c>
      <c r="C21" s="129"/>
      <c r="D21" s="129"/>
      <c r="E21" s="148">
        <v>9000</v>
      </c>
      <c r="F21" s="148">
        <v>9900</v>
      </c>
      <c r="G21" s="148">
        <v>12400</v>
      </c>
      <c r="H21" s="148">
        <v>9400</v>
      </c>
      <c r="I21" s="148">
        <v>10000</v>
      </c>
      <c r="J21" s="148">
        <v>10500</v>
      </c>
      <c r="K21" s="148">
        <v>13125</v>
      </c>
      <c r="L21" s="148">
        <v>10500</v>
      </c>
      <c r="M21" s="148">
        <v>10500</v>
      </c>
      <c r="N21" s="148">
        <v>11250</v>
      </c>
      <c r="O21" s="148">
        <v>15000</v>
      </c>
    </row>
    <row r="22" spans="1:15" ht="19.25" customHeight="1" x14ac:dyDescent="0.35">
      <c r="A22" s="96"/>
      <c r="B22" s="129" t="s">
        <v>55</v>
      </c>
      <c r="C22" s="129"/>
      <c r="D22" s="129"/>
      <c r="E22" s="129">
        <f>E21*0.25</f>
        <v>2250</v>
      </c>
      <c r="F22" s="129">
        <f t="shared" ref="F22:G22" si="5">F21*0.25</f>
        <v>2475</v>
      </c>
      <c r="G22" s="129">
        <f t="shared" si="5"/>
        <v>3100</v>
      </c>
      <c r="H22" s="129">
        <f>H21*0.2</f>
        <v>1880</v>
      </c>
      <c r="I22" s="129">
        <f t="shared" ref="I22:K22" si="6">I21*0.2</f>
        <v>2000</v>
      </c>
      <c r="J22" s="129">
        <f t="shared" si="6"/>
        <v>2100</v>
      </c>
      <c r="K22" s="129">
        <f t="shared" si="6"/>
        <v>2625</v>
      </c>
      <c r="L22" s="129">
        <f>L21*0.15</f>
        <v>1575</v>
      </c>
      <c r="M22" s="129">
        <f t="shared" ref="M22:O22" si="7">M21*0.15</f>
        <v>1575</v>
      </c>
      <c r="N22" s="129">
        <f t="shared" si="7"/>
        <v>1687.5</v>
      </c>
      <c r="O22" s="129">
        <f t="shared" si="7"/>
        <v>2250</v>
      </c>
    </row>
    <row r="23" spans="1:15" ht="19.25" customHeight="1" x14ac:dyDescent="0.35">
      <c r="A23" s="96"/>
      <c r="B23" s="2" t="s">
        <v>56</v>
      </c>
      <c r="C23" s="129"/>
      <c r="D23" s="146">
        <v>0</v>
      </c>
      <c r="E23" s="147">
        <f>E21+E22</f>
        <v>11250</v>
      </c>
      <c r="F23" s="147">
        <f t="shared" ref="F23:O23" si="8">F21+F22</f>
        <v>12375</v>
      </c>
      <c r="G23" s="147">
        <f t="shared" si="8"/>
        <v>15500</v>
      </c>
      <c r="H23" s="147">
        <f t="shared" si="8"/>
        <v>11280</v>
      </c>
      <c r="I23" s="147">
        <f t="shared" si="8"/>
        <v>12000</v>
      </c>
      <c r="J23" s="147">
        <f t="shared" si="8"/>
        <v>12600</v>
      </c>
      <c r="K23" s="147">
        <f t="shared" si="8"/>
        <v>15750</v>
      </c>
      <c r="L23" s="147">
        <f t="shared" si="8"/>
        <v>12075</v>
      </c>
      <c r="M23" s="147">
        <f t="shared" si="8"/>
        <v>12075</v>
      </c>
      <c r="N23" s="147">
        <f t="shared" si="8"/>
        <v>12937.5</v>
      </c>
      <c r="O23" s="147">
        <f t="shared" si="8"/>
        <v>17250</v>
      </c>
    </row>
    <row r="24" spans="1:15" ht="19.25" customHeight="1" x14ac:dyDescent="0.35">
      <c r="A24" s="96"/>
      <c r="B24" s="129" t="s">
        <v>57</v>
      </c>
      <c r="C24" s="129"/>
      <c r="D24" s="147">
        <v>0</v>
      </c>
      <c r="E24" s="147">
        <v>0</v>
      </c>
      <c r="F24" s="150">
        <f>E22</f>
        <v>2250</v>
      </c>
      <c r="G24" s="150">
        <f t="shared" ref="G24:O24" si="9">F22</f>
        <v>2475</v>
      </c>
      <c r="H24" s="150">
        <f t="shared" si="9"/>
        <v>3100</v>
      </c>
      <c r="I24" s="150">
        <f t="shared" si="9"/>
        <v>1880</v>
      </c>
      <c r="J24" s="150">
        <f t="shared" si="9"/>
        <v>2000</v>
      </c>
      <c r="K24" s="150">
        <f t="shared" si="9"/>
        <v>2100</v>
      </c>
      <c r="L24" s="150">
        <f t="shared" si="9"/>
        <v>2625</v>
      </c>
      <c r="M24" s="150">
        <f t="shared" si="9"/>
        <v>1575</v>
      </c>
      <c r="N24" s="150">
        <f t="shared" si="9"/>
        <v>1575</v>
      </c>
      <c r="O24" s="150">
        <f t="shared" si="9"/>
        <v>1687.5</v>
      </c>
    </row>
    <row r="25" spans="1:15" ht="19.25" customHeight="1" x14ac:dyDescent="0.35">
      <c r="A25" s="96"/>
      <c r="B25" s="2" t="s">
        <v>58</v>
      </c>
      <c r="C25" s="129"/>
      <c r="D25" s="146">
        <v>0</v>
      </c>
      <c r="E25" s="147">
        <f>E23-E24</f>
        <v>11250</v>
      </c>
      <c r="F25" s="147">
        <f t="shared" ref="F25:O25" si="10">F23-F24</f>
        <v>10125</v>
      </c>
      <c r="G25" s="147">
        <f t="shared" si="10"/>
        <v>13025</v>
      </c>
      <c r="H25" s="147">
        <f t="shared" si="10"/>
        <v>8180</v>
      </c>
      <c r="I25" s="147">
        <f t="shared" si="10"/>
        <v>10120</v>
      </c>
      <c r="J25" s="147">
        <f t="shared" si="10"/>
        <v>10600</v>
      </c>
      <c r="K25" s="147">
        <f t="shared" si="10"/>
        <v>13650</v>
      </c>
      <c r="L25" s="147">
        <f t="shared" si="10"/>
        <v>9450</v>
      </c>
      <c r="M25" s="147">
        <f t="shared" si="10"/>
        <v>10500</v>
      </c>
      <c r="N25" s="147">
        <f t="shared" si="10"/>
        <v>11362.5</v>
      </c>
      <c r="O25" s="147">
        <f t="shared" si="10"/>
        <v>15562.5</v>
      </c>
    </row>
    <row r="26" spans="1:15" ht="19.25" customHeight="1" x14ac:dyDescent="0.35">
      <c r="A26" s="96"/>
      <c r="B26" s="96"/>
      <c r="C26" s="96"/>
      <c r="D26" s="33"/>
      <c r="E26" s="33"/>
      <c r="F26" s="33"/>
      <c r="G26" s="33"/>
      <c r="H26" s="33"/>
      <c r="I26" s="33"/>
      <c r="J26" s="33"/>
      <c r="K26" s="33"/>
      <c r="L26" s="33"/>
      <c r="M26" s="33"/>
      <c r="N26" s="33"/>
      <c r="O26" s="33"/>
    </row>
    <row r="27" spans="1:15" ht="17.5" customHeight="1" x14ac:dyDescent="0.35">
      <c r="A27" s="96"/>
      <c r="B27" s="96"/>
      <c r="C27" s="96"/>
      <c r="D27" s="96"/>
      <c r="E27" s="96"/>
      <c r="F27" s="96"/>
      <c r="G27" s="96"/>
      <c r="H27" s="96"/>
      <c r="I27" s="96"/>
      <c r="J27" s="96"/>
      <c r="K27" s="96"/>
      <c r="L27" s="96"/>
      <c r="M27" s="96"/>
      <c r="N27" s="96"/>
      <c r="O27" s="96"/>
    </row>
    <row r="28" spans="1:15" ht="14" customHeight="1" x14ac:dyDescent="0.35">
      <c r="A28" s="96"/>
      <c r="B28" s="96"/>
      <c r="C28" s="96"/>
      <c r="D28" s="32"/>
      <c r="E28" s="32"/>
      <c r="F28" s="32"/>
      <c r="G28" s="32"/>
      <c r="H28" s="32"/>
      <c r="I28" s="32"/>
      <c r="J28" s="32"/>
      <c r="K28" s="32"/>
      <c r="L28" s="32"/>
      <c r="M28" s="32"/>
      <c r="N28" s="32"/>
      <c r="O28" s="32"/>
    </row>
    <row r="29" spans="1:15" ht="45.65" customHeight="1" x14ac:dyDescent="0.7">
      <c r="A29" s="197" t="s">
        <v>62</v>
      </c>
      <c r="B29" s="96"/>
      <c r="C29" s="96"/>
      <c r="D29" s="96"/>
      <c r="E29" s="96"/>
      <c r="F29" s="96"/>
      <c r="G29" s="96"/>
      <c r="H29" s="96"/>
      <c r="I29" s="96"/>
      <c r="J29" s="96"/>
      <c r="K29" s="96"/>
      <c r="L29" s="96"/>
      <c r="M29" s="96"/>
      <c r="N29" s="96"/>
      <c r="O29" s="96"/>
    </row>
    <row r="31" spans="1:15" ht="19.25" customHeight="1" x14ac:dyDescent="0.35">
      <c r="A31" s="96"/>
      <c r="B31" s="46" t="s">
        <v>33</v>
      </c>
      <c r="C31" s="47" t="s">
        <v>34</v>
      </c>
      <c r="D31" s="47" t="s">
        <v>35</v>
      </c>
      <c r="E31" s="47" t="s">
        <v>36</v>
      </c>
      <c r="F31" s="47" t="s">
        <v>37</v>
      </c>
      <c r="G31" s="47" t="s">
        <v>38</v>
      </c>
      <c r="H31" s="47" t="s">
        <v>39</v>
      </c>
      <c r="I31" s="47" t="s">
        <v>40</v>
      </c>
      <c r="J31" s="47" t="s">
        <v>41</v>
      </c>
      <c r="K31" s="47" t="s">
        <v>42</v>
      </c>
      <c r="L31" s="47" t="s">
        <v>43</v>
      </c>
      <c r="M31" s="47" t="s">
        <v>44</v>
      </c>
      <c r="N31" s="47" t="s">
        <v>45</v>
      </c>
      <c r="O31" s="47" t="s">
        <v>46</v>
      </c>
    </row>
    <row r="32" spans="1:15" ht="19.25" customHeight="1" x14ac:dyDescent="0.35">
      <c r="A32" s="96"/>
      <c r="B32" s="129" t="s">
        <v>63</v>
      </c>
      <c r="C32" s="129"/>
      <c r="D32" s="129"/>
      <c r="E32" s="199">
        <f>E7*0.05+E21*0.05</f>
        <v>1500</v>
      </c>
      <c r="F32" s="199">
        <f t="shared" ref="F32:O32" si="11">F7*0.05+F21*0.05</f>
        <v>1650</v>
      </c>
      <c r="G32" s="199">
        <f t="shared" si="11"/>
        <v>2065</v>
      </c>
      <c r="H32" s="199">
        <f t="shared" si="11"/>
        <v>1570</v>
      </c>
      <c r="I32" s="199">
        <f t="shared" si="11"/>
        <v>1650</v>
      </c>
      <c r="J32" s="199">
        <f t="shared" si="11"/>
        <v>1725</v>
      </c>
      <c r="K32" s="199">
        <f t="shared" si="11"/>
        <v>2156.25</v>
      </c>
      <c r="L32" s="199">
        <f t="shared" si="11"/>
        <v>1725</v>
      </c>
      <c r="M32" s="199">
        <f t="shared" si="11"/>
        <v>1725</v>
      </c>
      <c r="N32" s="199">
        <f t="shared" si="11"/>
        <v>1875</v>
      </c>
      <c r="O32" s="199">
        <f t="shared" si="11"/>
        <v>2500</v>
      </c>
    </row>
    <row r="33" spans="2:15" ht="19.25" customHeight="1" x14ac:dyDescent="0.35">
      <c r="B33" s="129" t="s">
        <v>61</v>
      </c>
      <c r="C33" s="129"/>
      <c r="D33" s="129"/>
      <c r="E33" s="129">
        <f>E32*0.25</f>
        <v>375</v>
      </c>
      <c r="F33" s="129">
        <f t="shared" ref="F33:G33" si="12">F32*0.25</f>
        <v>412.5</v>
      </c>
      <c r="G33" s="129">
        <f t="shared" si="12"/>
        <v>516.25</v>
      </c>
      <c r="H33" s="129">
        <f>H32*0.2</f>
        <v>314</v>
      </c>
      <c r="I33" s="129">
        <f t="shared" ref="I33:K33" si="13">I32*0.2</f>
        <v>330</v>
      </c>
      <c r="J33" s="129">
        <f t="shared" si="13"/>
        <v>345</v>
      </c>
      <c r="K33" s="129">
        <f t="shared" si="13"/>
        <v>431.25</v>
      </c>
      <c r="L33" s="129">
        <f>L32*0.15</f>
        <v>258.75</v>
      </c>
      <c r="M33" s="129">
        <f t="shared" ref="M33:O33" si="14">M32*0.15</f>
        <v>258.75</v>
      </c>
      <c r="N33" s="129">
        <f t="shared" si="14"/>
        <v>281.25</v>
      </c>
      <c r="O33" s="129">
        <f t="shared" si="14"/>
        <v>375</v>
      </c>
    </row>
    <row r="34" spans="2:15" ht="19.25" customHeight="1" x14ac:dyDescent="0.35">
      <c r="B34" s="2" t="s">
        <v>56</v>
      </c>
      <c r="C34" s="129"/>
      <c r="D34" s="146">
        <v>0</v>
      </c>
      <c r="E34" s="147">
        <f>E32+E33</f>
        <v>1875</v>
      </c>
      <c r="F34" s="147">
        <f t="shared" ref="F34:O34" si="15">F32+F33</f>
        <v>2062.5</v>
      </c>
      <c r="G34" s="147">
        <f t="shared" si="15"/>
        <v>2581.25</v>
      </c>
      <c r="H34" s="147">
        <f t="shared" si="15"/>
        <v>1884</v>
      </c>
      <c r="I34" s="147">
        <f t="shared" si="15"/>
        <v>1980</v>
      </c>
      <c r="J34" s="147">
        <f t="shared" si="15"/>
        <v>2070</v>
      </c>
      <c r="K34" s="147">
        <f t="shared" si="15"/>
        <v>2587.5</v>
      </c>
      <c r="L34" s="147">
        <f t="shared" si="15"/>
        <v>1983.75</v>
      </c>
      <c r="M34" s="147">
        <f t="shared" si="15"/>
        <v>1983.75</v>
      </c>
      <c r="N34" s="147">
        <f t="shared" si="15"/>
        <v>2156.25</v>
      </c>
      <c r="O34" s="147">
        <f t="shared" si="15"/>
        <v>2875</v>
      </c>
    </row>
    <row r="35" spans="2:15" ht="19.25" customHeight="1" x14ac:dyDescent="0.35">
      <c r="B35" s="129" t="s">
        <v>57</v>
      </c>
      <c r="C35" s="129"/>
      <c r="D35" s="147">
        <v>0</v>
      </c>
      <c r="E35" s="147">
        <v>0</v>
      </c>
      <c r="F35" s="150">
        <f>E33</f>
        <v>375</v>
      </c>
      <c r="G35" s="150">
        <f t="shared" ref="G35" si="16">F33</f>
        <v>412.5</v>
      </c>
      <c r="H35" s="150">
        <f t="shared" ref="H35" si="17">G33</f>
        <v>516.25</v>
      </c>
      <c r="I35" s="150">
        <f t="shared" ref="I35" si="18">H33</f>
        <v>314</v>
      </c>
      <c r="J35" s="150">
        <f t="shared" ref="J35" si="19">I33</f>
        <v>330</v>
      </c>
      <c r="K35" s="150">
        <f t="shared" ref="K35" si="20">J33</f>
        <v>345</v>
      </c>
      <c r="L35" s="150">
        <f t="shared" ref="L35" si="21">K33</f>
        <v>431.25</v>
      </c>
      <c r="M35" s="150">
        <f t="shared" ref="M35" si="22">L33</f>
        <v>258.75</v>
      </c>
      <c r="N35" s="150">
        <f t="shared" ref="N35" si="23">M33</f>
        <v>258.75</v>
      </c>
      <c r="O35" s="150">
        <f t="shared" ref="O35" si="24">N33</f>
        <v>281.25</v>
      </c>
    </row>
    <row r="36" spans="2:15" ht="19.25" customHeight="1" x14ac:dyDescent="0.35">
      <c r="B36" s="2" t="s">
        <v>58</v>
      </c>
      <c r="C36" s="129"/>
      <c r="D36" s="146">
        <v>0</v>
      </c>
      <c r="E36" s="147">
        <f>E34-E35</f>
        <v>1875</v>
      </c>
      <c r="F36" s="147">
        <f t="shared" ref="F36:O36" si="25">F34-F35</f>
        <v>1687.5</v>
      </c>
      <c r="G36" s="147">
        <f t="shared" si="25"/>
        <v>2168.75</v>
      </c>
      <c r="H36" s="147">
        <f t="shared" si="25"/>
        <v>1367.75</v>
      </c>
      <c r="I36" s="147">
        <f t="shared" si="25"/>
        <v>1666</v>
      </c>
      <c r="J36" s="147">
        <f t="shared" si="25"/>
        <v>1740</v>
      </c>
      <c r="K36" s="147">
        <f t="shared" si="25"/>
        <v>2242.5</v>
      </c>
      <c r="L36" s="147">
        <f t="shared" si="25"/>
        <v>1552.5</v>
      </c>
      <c r="M36" s="147">
        <f t="shared" si="25"/>
        <v>1725</v>
      </c>
      <c r="N36" s="147">
        <f t="shared" si="25"/>
        <v>1897.5</v>
      </c>
      <c r="O36" s="147">
        <f t="shared" si="25"/>
        <v>2593.75</v>
      </c>
    </row>
  </sheetData>
  <phoneticPr fontId="16"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3"/>
  <sheetViews>
    <sheetView topLeftCell="A4" zoomScale="85" workbookViewId="0">
      <selection activeCell="F12" sqref="F12"/>
    </sheetView>
  </sheetViews>
  <sheetFormatPr defaultColWidth="8.81640625" defaultRowHeight="19.25" customHeight="1" x14ac:dyDescent="0.35"/>
  <cols>
    <col min="1" max="1" width="8.81640625" style="45"/>
    <col min="2" max="2" width="23.453125" style="45" bestFit="1" customWidth="1"/>
    <col min="3" max="3" width="8.81640625" style="45"/>
    <col min="4" max="17" width="14.453125" style="45" customWidth="1"/>
    <col min="18" max="16384" width="8.81640625" style="45"/>
  </cols>
  <sheetData>
    <row r="1" spans="1:17" ht="19.25" customHeight="1" x14ac:dyDescent="0.35">
      <c r="A1" s="68"/>
    </row>
    <row r="2" spans="1:17" ht="19.25" customHeight="1" x14ac:dyDescent="0.35">
      <c r="A2" s="68"/>
    </row>
    <row r="4" spans="1:17" ht="37.25" customHeight="1" x14ac:dyDescent="0.8">
      <c r="A4" s="69" t="s">
        <v>64</v>
      </c>
      <c r="G4" s="45">
        <v>0.7</v>
      </c>
      <c r="H4" s="45">
        <v>0.3</v>
      </c>
    </row>
    <row r="5" spans="1:17" ht="19.25" customHeight="1" x14ac:dyDescent="0.8">
      <c r="A5" s="69"/>
    </row>
    <row r="6" spans="1:17" s="49" customFormat="1" ht="18.5" x14ac:dyDescent="0.45">
      <c r="A6" s="50"/>
      <c r="B6" s="46" t="s">
        <v>33</v>
      </c>
      <c r="C6" s="47" t="s">
        <v>34</v>
      </c>
      <c r="D6" s="47" t="str">
        <f>'Sales Budget'!D6</f>
        <v>Q1, 2021</v>
      </c>
      <c r="E6" s="47" t="str">
        <f>'Sales Budget'!E6</f>
        <v>Q2, 2021</v>
      </c>
      <c r="F6" s="47" t="str">
        <f>'Sales Budget'!F6</f>
        <v>Q3, 2021</v>
      </c>
      <c r="G6" s="47" t="str">
        <f>'Sales Budget'!G6</f>
        <v>Q4, 2021</v>
      </c>
      <c r="H6" s="47" t="str">
        <f>'Sales Budget'!H6</f>
        <v>Q1, 2022</v>
      </c>
      <c r="I6" s="47" t="str">
        <f>'Sales Budget'!I6</f>
        <v>Q2, 2022</v>
      </c>
      <c r="J6" s="47" t="str">
        <f>'Sales Budget'!J6</f>
        <v>Q3, 2022</v>
      </c>
      <c r="K6" s="47" t="str">
        <f>'Sales Budget'!K6</f>
        <v>Q4, 2022</v>
      </c>
      <c r="L6" s="47" t="str">
        <f>'Sales Budget'!L6</f>
        <v>Q1, 2023</v>
      </c>
      <c r="M6" s="47" t="str">
        <f>'Sales Budget'!M6</f>
        <v>Q2, 2023</v>
      </c>
      <c r="N6" s="47" t="str">
        <f>'Sales Budget'!N6</f>
        <v>Q3, 2023</v>
      </c>
      <c r="O6" s="47" t="str">
        <f>'Sales Budget'!O6</f>
        <v>Q4, 2023</v>
      </c>
      <c r="P6" s="48"/>
    </row>
    <row r="7" spans="1:17" ht="19.25" customHeight="1" x14ac:dyDescent="0.35">
      <c r="B7" s="151" t="s">
        <v>65</v>
      </c>
      <c r="C7" s="70"/>
      <c r="D7" s="86"/>
      <c r="E7" s="86">
        <v>26250</v>
      </c>
      <c r="F7" s="86">
        <v>23625</v>
      </c>
      <c r="G7" s="86">
        <v>30350</v>
      </c>
      <c r="H7" s="86">
        <v>19175</v>
      </c>
      <c r="I7" s="86">
        <v>23200</v>
      </c>
      <c r="J7" s="86">
        <v>24200</v>
      </c>
      <c r="K7" s="86">
        <v>31200</v>
      </c>
      <c r="L7" s="86">
        <v>21600</v>
      </c>
      <c r="M7" s="86">
        <v>24000</v>
      </c>
      <c r="N7" s="86">
        <v>26587.5</v>
      </c>
      <c r="O7" s="86">
        <v>36312.5</v>
      </c>
      <c r="P7" s="71"/>
      <c r="Q7" s="71"/>
    </row>
    <row r="8" spans="1:17" ht="19.25" customHeight="1" x14ac:dyDescent="0.35">
      <c r="B8" s="45" t="s">
        <v>66</v>
      </c>
      <c r="C8" s="70"/>
      <c r="D8" s="86"/>
      <c r="E8" s="86">
        <v>11250</v>
      </c>
      <c r="F8" s="86">
        <v>10125</v>
      </c>
      <c r="G8" s="86">
        <v>13025</v>
      </c>
      <c r="H8" s="86">
        <v>8180</v>
      </c>
      <c r="I8" s="86">
        <v>10120</v>
      </c>
      <c r="J8" s="86">
        <v>10600</v>
      </c>
      <c r="K8" s="86">
        <v>13650</v>
      </c>
      <c r="L8" s="86">
        <v>9450</v>
      </c>
      <c r="M8" s="86">
        <v>10500</v>
      </c>
      <c r="N8" s="86">
        <v>11362.5</v>
      </c>
      <c r="O8" s="86">
        <v>15562.5</v>
      </c>
      <c r="P8" s="70"/>
      <c r="Q8" s="70"/>
    </row>
    <row r="9" spans="1:17" ht="19.25" customHeight="1" x14ac:dyDescent="0.35">
      <c r="B9" s="51" t="s">
        <v>67</v>
      </c>
      <c r="C9" s="70"/>
      <c r="D9" s="33"/>
      <c r="E9" s="33">
        <f>E7+E8</f>
        <v>37500</v>
      </c>
      <c r="F9" s="33">
        <f t="shared" ref="F9:O9" si="0">F7+F8</f>
        <v>33750</v>
      </c>
      <c r="G9" s="33">
        <f t="shared" si="0"/>
        <v>43375</v>
      </c>
      <c r="H9" s="33">
        <f t="shared" si="0"/>
        <v>27355</v>
      </c>
      <c r="I9" s="33">
        <f t="shared" si="0"/>
        <v>33320</v>
      </c>
      <c r="J9" s="33">
        <f t="shared" si="0"/>
        <v>34800</v>
      </c>
      <c r="K9" s="33">
        <f t="shared" si="0"/>
        <v>44850</v>
      </c>
      <c r="L9" s="33">
        <f t="shared" si="0"/>
        <v>31050</v>
      </c>
      <c r="M9" s="33">
        <f t="shared" si="0"/>
        <v>34500</v>
      </c>
      <c r="N9" s="33">
        <f t="shared" si="0"/>
        <v>37950</v>
      </c>
      <c r="O9" s="33">
        <f t="shared" si="0"/>
        <v>51875</v>
      </c>
      <c r="Q9" s="70"/>
    </row>
    <row r="10" spans="1:17" ht="19.25" customHeight="1" x14ac:dyDescent="0.35">
      <c r="B10" s="151" t="s">
        <v>68</v>
      </c>
      <c r="C10" s="70">
        <v>283.5</v>
      </c>
      <c r="D10" s="70"/>
      <c r="E10" s="70">
        <v>283.5</v>
      </c>
      <c r="F10" s="70">
        <v>283.5</v>
      </c>
      <c r="G10" s="70">
        <v>283.5</v>
      </c>
      <c r="H10" s="70">
        <v>283.5</v>
      </c>
      <c r="I10" s="70">
        <v>283.5</v>
      </c>
      <c r="J10" s="70">
        <v>283.5</v>
      </c>
      <c r="K10" s="70">
        <v>283.5</v>
      </c>
      <c r="L10" s="70">
        <v>283.5</v>
      </c>
      <c r="M10" s="70">
        <v>283.5</v>
      </c>
      <c r="N10" s="70">
        <v>283.5</v>
      </c>
      <c r="O10" s="70">
        <v>283.5</v>
      </c>
      <c r="P10" s="70"/>
      <c r="Q10" s="70"/>
    </row>
    <row r="11" spans="1:17" ht="19.25" customHeight="1" x14ac:dyDescent="0.35">
      <c r="B11" s="151" t="s">
        <v>69</v>
      </c>
      <c r="C11" s="45">
        <v>220.5</v>
      </c>
      <c r="E11" s="45">
        <v>220.5</v>
      </c>
      <c r="F11" s="45">
        <v>220.5</v>
      </c>
      <c r="G11" s="45">
        <v>220.5</v>
      </c>
      <c r="H11" s="45">
        <v>220.5</v>
      </c>
      <c r="I11" s="45">
        <v>220.5</v>
      </c>
      <c r="J11" s="45">
        <v>220.5</v>
      </c>
      <c r="K11" s="45">
        <v>220.5</v>
      </c>
      <c r="L11" s="45">
        <v>220.5</v>
      </c>
      <c r="M11" s="45">
        <v>220.5</v>
      </c>
      <c r="N11" s="45">
        <v>220.5</v>
      </c>
      <c r="O11" s="45">
        <v>220.5</v>
      </c>
    </row>
    <row r="12" spans="1:17" ht="19.25" customHeight="1" x14ac:dyDescent="0.35">
      <c r="B12" s="49" t="s">
        <v>70</v>
      </c>
      <c r="D12" s="86">
        <f>D7*D10+D8*D11</f>
        <v>0</v>
      </c>
      <c r="E12" s="152">
        <f t="shared" ref="E12:O12" si="1">E7*E10+E8*E11</f>
        <v>9922500</v>
      </c>
      <c r="F12" s="152">
        <f t="shared" si="1"/>
        <v>8930250</v>
      </c>
      <c r="G12" s="152">
        <f t="shared" si="1"/>
        <v>11476237.5</v>
      </c>
      <c r="H12" s="152">
        <f t="shared" si="1"/>
        <v>7239802.5</v>
      </c>
      <c r="I12" s="152">
        <f t="shared" si="1"/>
        <v>8808660</v>
      </c>
      <c r="J12" s="152">
        <f t="shared" si="1"/>
        <v>9198000</v>
      </c>
      <c r="K12" s="152">
        <f t="shared" si="1"/>
        <v>11855025</v>
      </c>
      <c r="L12" s="152">
        <f t="shared" si="1"/>
        <v>8207325</v>
      </c>
      <c r="M12" s="152">
        <f t="shared" si="1"/>
        <v>9119250</v>
      </c>
      <c r="N12" s="152">
        <f t="shared" si="1"/>
        <v>10042987.5</v>
      </c>
      <c r="O12" s="152">
        <f t="shared" si="1"/>
        <v>13726125</v>
      </c>
    </row>
    <row r="13" spans="1:17" ht="19.25" customHeight="1" x14ac:dyDescent="0.35">
      <c r="I13" s="8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3"/>
  <sheetViews>
    <sheetView topLeftCell="A3" workbookViewId="0">
      <selection activeCell="C10" sqref="C10"/>
    </sheetView>
  </sheetViews>
  <sheetFormatPr defaultColWidth="8.81640625" defaultRowHeight="19.25" customHeight="1" x14ac:dyDescent="0.35"/>
  <cols>
    <col min="2" max="2" width="19" bestFit="1" customWidth="1"/>
    <col min="4" max="17" width="12.1796875" customWidth="1"/>
  </cols>
  <sheetData>
    <row r="1" spans="1:17" s="43" customFormat="1" ht="19.25" customHeight="1" x14ac:dyDescent="0.35">
      <c r="A1" s="96"/>
      <c r="B1" s="96"/>
      <c r="C1" s="96"/>
      <c r="D1" s="96"/>
      <c r="E1" s="96"/>
      <c r="F1" s="96"/>
      <c r="G1" s="96"/>
      <c r="H1" s="96"/>
      <c r="I1" s="96"/>
      <c r="J1" s="96"/>
      <c r="K1" s="96"/>
      <c r="L1" s="96"/>
      <c r="M1" s="96"/>
      <c r="N1" s="96"/>
      <c r="O1" s="96"/>
      <c r="P1" s="96"/>
      <c r="Q1" s="96"/>
    </row>
    <row r="2" spans="1:17" s="43" customFormat="1" ht="19.25" customHeight="1" x14ac:dyDescent="0.35">
      <c r="A2" s="96"/>
      <c r="B2" s="96"/>
      <c r="C2" s="96"/>
      <c r="D2" s="96"/>
      <c r="E2" s="96"/>
      <c r="F2" s="96"/>
      <c r="G2" s="96"/>
      <c r="H2" s="96"/>
      <c r="I2" s="96"/>
      <c r="J2" s="96"/>
      <c r="K2" s="96"/>
      <c r="L2" s="96"/>
      <c r="M2" s="96"/>
      <c r="N2" s="96"/>
      <c r="O2" s="96"/>
      <c r="P2" s="96"/>
      <c r="Q2" s="96"/>
    </row>
    <row r="3" spans="1:17" s="43" customFormat="1" ht="19.25" customHeight="1" x14ac:dyDescent="0.35">
      <c r="A3" s="96"/>
      <c r="B3" s="96"/>
      <c r="C3" s="96"/>
      <c r="D3" s="96"/>
      <c r="E3" s="96"/>
      <c r="F3" s="96"/>
      <c r="G3" s="96"/>
      <c r="H3" s="96"/>
      <c r="I3" s="96"/>
      <c r="J3" s="96"/>
      <c r="K3" s="96"/>
      <c r="L3" s="96"/>
      <c r="M3" s="96"/>
      <c r="N3" s="96"/>
      <c r="O3" s="96"/>
      <c r="P3" s="96"/>
      <c r="Q3" s="96"/>
    </row>
    <row r="4" spans="1:17" ht="37.25" customHeight="1" x14ac:dyDescent="0.8">
      <c r="A4" s="26" t="s">
        <v>71</v>
      </c>
      <c r="B4" s="96"/>
      <c r="C4" s="96"/>
      <c r="D4" s="96"/>
      <c r="E4" s="96"/>
      <c r="F4" s="96"/>
      <c r="G4" s="96">
        <v>0.7</v>
      </c>
      <c r="H4" s="96">
        <v>0.3</v>
      </c>
      <c r="I4" s="96"/>
      <c r="J4" s="96"/>
      <c r="K4" s="96"/>
      <c r="L4" s="96"/>
      <c r="M4" s="96"/>
      <c r="N4" s="96"/>
      <c r="O4" s="96"/>
      <c r="P4" s="96"/>
      <c r="Q4" s="96"/>
    </row>
    <row r="5" spans="1:17" s="43" customFormat="1" ht="19.25" customHeight="1" x14ac:dyDescent="0.8">
      <c r="A5" s="26"/>
      <c r="B5" s="96"/>
      <c r="C5" s="96"/>
      <c r="D5" s="96"/>
      <c r="E5" s="96"/>
      <c r="F5" s="96"/>
      <c r="G5" s="96"/>
      <c r="H5" s="96"/>
      <c r="I5" s="96"/>
      <c r="J5" s="96"/>
      <c r="K5" s="96"/>
      <c r="L5" s="96"/>
      <c r="M5" s="96"/>
      <c r="N5" s="96"/>
      <c r="O5" s="96"/>
      <c r="P5" s="96"/>
      <c r="Q5" s="96"/>
    </row>
    <row r="6" spans="1:17" s="49" customFormat="1" ht="18.5" x14ac:dyDescent="0.45">
      <c r="A6" s="50"/>
      <c r="B6" s="46" t="s">
        <v>33</v>
      </c>
      <c r="C6" s="47" t="s">
        <v>34</v>
      </c>
      <c r="D6" s="47" t="str">
        <f>'Sales Budget'!D6</f>
        <v>Q1, 2021</v>
      </c>
      <c r="E6" s="47" t="str">
        <f>'Sales Budget'!E6</f>
        <v>Q2, 2021</v>
      </c>
      <c r="F6" s="47" t="str">
        <f>'Sales Budget'!F6</f>
        <v>Q3, 2021</v>
      </c>
      <c r="G6" s="47" t="str">
        <f>'Sales Budget'!G6</f>
        <v>Q4, 2021</v>
      </c>
      <c r="H6" s="47" t="str">
        <f>'Sales Budget'!H6</f>
        <v>Q1, 2022</v>
      </c>
      <c r="I6" s="47" t="str">
        <f>'Sales Budget'!I6</f>
        <v>Q2, 2022</v>
      </c>
      <c r="J6" s="47" t="str">
        <f>'Sales Budget'!J6</f>
        <v>Q3, 2022</v>
      </c>
      <c r="K6" s="47" t="str">
        <f>'Sales Budget'!K6</f>
        <v>Q4, 2022</v>
      </c>
      <c r="L6" s="47" t="str">
        <f>'Sales Budget'!L6</f>
        <v>Q1, 2023</v>
      </c>
      <c r="M6" s="47" t="str">
        <f>'Sales Budget'!M6</f>
        <v>Q2, 2023</v>
      </c>
      <c r="N6" s="47" t="str">
        <f>'Sales Budget'!N6</f>
        <v>Q3, 2023</v>
      </c>
      <c r="O6" s="47" t="str">
        <f>'Sales Budget'!O6</f>
        <v>Q4, 2023</v>
      </c>
      <c r="P6" s="48"/>
    </row>
    <row r="7" spans="1:17" ht="19.25" customHeight="1" x14ac:dyDescent="0.35">
      <c r="A7" s="96"/>
      <c r="B7" s="2" t="s">
        <v>72</v>
      </c>
      <c r="C7" s="153"/>
      <c r="D7" s="146"/>
      <c r="E7" s="147">
        <f>E8+E9</f>
        <v>30000</v>
      </c>
      <c r="F7" s="147">
        <f t="shared" ref="F7:O7" si="0">F8+F9</f>
        <v>33000</v>
      </c>
      <c r="G7" s="147">
        <f t="shared" si="0"/>
        <v>41300</v>
      </c>
      <c r="H7" s="147">
        <f t="shared" si="0"/>
        <v>31400</v>
      </c>
      <c r="I7" s="147">
        <f t="shared" si="0"/>
        <v>33000</v>
      </c>
      <c r="J7" s="147">
        <f t="shared" si="0"/>
        <v>34500</v>
      </c>
      <c r="K7" s="147">
        <f t="shared" si="0"/>
        <v>43125</v>
      </c>
      <c r="L7" s="147">
        <f t="shared" si="0"/>
        <v>34500</v>
      </c>
      <c r="M7" s="147">
        <f t="shared" si="0"/>
        <v>34500</v>
      </c>
      <c r="N7" s="147">
        <f t="shared" si="0"/>
        <v>37500</v>
      </c>
      <c r="O7" s="147">
        <f t="shared" si="0"/>
        <v>50000</v>
      </c>
      <c r="P7" s="72"/>
      <c r="Q7" s="72"/>
    </row>
    <row r="8" spans="1:17" ht="19.25" customHeight="1" x14ac:dyDescent="0.35">
      <c r="A8" s="96"/>
      <c r="B8" s="154" t="s">
        <v>73</v>
      </c>
      <c r="C8" s="155"/>
      <c r="D8" s="156"/>
      <c r="E8" s="156">
        <v>21000</v>
      </c>
      <c r="F8" s="156">
        <v>23100</v>
      </c>
      <c r="G8" s="156">
        <v>28900</v>
      </c>
      <c r="H8" s="156">
        <v>22000</v>
      </c>
      <c r="I8" s="156">
        <v>23000</v>
      </c>
      <c r="J8" s="156">
        <v>24000</v>
      </c>
      <c r="K8" s="156">
        <v>30000</v>
      </c>
      <c r="L8" s="156">
        <v>24000</v>
      </c>
      <c r="M8" s="156">
        <v>24000</v>
      </c>
      <c r="N8" s="156">
        <v>26250</v>
      </c>
      <c r="O8" s="156">
        <v>35000</v>
      </c>
      <c r="P8" s="73"/>
      <c r="Q8" s="73"/>
    </row>
    <row r="9" spans="1:17" ht="19.25" customHeight="1" x14ac:dyDescent="0.35">
      <c r="A9" s="96"/>
      <c r="B9" s="154" t="s">
        <v>74</v>
      </c>
      <c r="C9" s="155"/>
      <c r="D9" s="157"/>
      <c r="E9" s="148">
        <v>9000</v>
      </c>
      <c r="F9" s="148">
        <v>9900</v>
      </c>
      <c r="G9" s="148">
        <v>12400</v>
      </c>
      <c r="H9" s="148">
        <v>9400</v>
      </c>
      <c r="I9" s="148">
        <v>10000</v>
      </c>
      <c r="J9" s="148">
        <v>10500</v>
      </c>
      <c r="K9" s="148">
        <v>13125</v>
      </c>
      <c r="L9" s="148">
        <v>10500</v>
      </c>
      <c r="M9" s="148">
        <v>10500</v>
      </c>
      <c r="N9" s="148">
        <v>11250</v>
      </c>
      <c r="O9" s="148">
        <v>15000</v>
      </c>
      <c r="P9" s="73"/>
      <c r="Q9" s="73"/>
    </row>
    <row r="10" spans="1:17" ht="19.25" customHeight="1" x14ac:dyDescent="0.35">
      <c r="A10" s="96"/>
      <c r="B10" s="154" t="s">
        <v>75</v>
      </c>
      <c r="C10" s="155">
        <v>283.5</v>
      </c>
      <c r="D10" s="158">
        <f>D8*$C$10</f>
        <v>0</v>
      </c>
      <c r="E10" s="158">
        <f t="shared" ref="E10:O10" si="1">E8*$C$10</f>
        <v>5953500</v>
      </c>
      <c r="F10" s="158">
        <f t="shared" si="1"/>
        <v>6548850</v>
      </c>
      <c r="G10" s="158">
        <f t="shared" si="1"/>
        <v>8193150</v>
      </c>
      <c r="H10" s="158">
        <f t="shared" si="1"/>
        <v>6237000</v>
      </c>
      <c r="I10" s="158">
        <f t="shared" si="1"/>
        <v>6520500</v>
      </c>
      <c r="J10" s="158">
        <f t="shared" si="1"/>
        <v>6804000</v>
      </c>
      <c r="K10" s="158">
        <f t="shared" si="1"/>
        <v>8505000</v>
      </c>
      <c r="L10" s="158">
        <f t="shared" si="1"/>
        <v>6804000</v>
      </c>
      <c r="M10" s="158">
        <f t="shared" si="1"/>
        <v>6804000</v>
      </c>
      <c r="N10" s="158">
        <f t="shared" si="1"/>
        <v>7441875</v>
      </c>
      <c r="O10" s="158">
        <f t="shared" si="1"/>
        <v>9922500</v>
      </c>
      <c r="P10" s="96"/>
      <c r="Q10" s="96"/>
    </row>
    <row r="11" spans="1:17" ht="19.25" customHeight="1" x14ac:dyDescent="0.35">
      <c r="A11" s="96"/>
      <c r="B11" s="154" t="s">
        <v>76</v>
      </c>
      <c r="C11" s="155">
        <v>220.5</v>
      </c>
      <c r="D11" s="146">
        <f>D9*$C$11</f>
        <v>0</v>
      </c>
      <c r="E11" s="146">
        <f t="shared" ref="E11:O11" si="2">E9*$C$11</f>
        <v>1984500</v>
      </c>
      <c r="F11" s="146">
        <f t="shared" si="2"/>
        <v>2182950</v>
      </c>
      <c r="G11" s="146">
        <f t="shared" si="2"/>
        <v>2734200</v>
      </c>
      <c r="H11" s="146">
        <f t="shared" si="2"/>
        <v>2072700</v>
      </c>
      <c r="I11" s="146">
        <f t="shared" si="2"/>
        <v>2205000</v>
      </c>
      <c r="J11" s="146">
        <f t="shared" si="2"/>
        <v>2315250</v>
      </c>
      <c r="K11" s="146">
        <f t="shared" si="2"/>
        <v>2894062.5</v>
      </c>
      <c r="L11" s="146">
        <f t="shared" si="2"/>
        <v>2315250</v>
      </c>
      <c r="M11" s="146">
        <f t="shared" si="2"/>
        <v>2315250</v>
      </c>
      <c r="N11" s="146">
        <f t="shared" si="2"/>
        <v>2480625</v>
      </c>
      <c r="O11" s="146">
        <f t="shared" si="2"/>
        <v>3307500</v>
      </c>
      <c r="P11" s="96"/>
      <c r="Q11" s="96"/>
    </row>
    <row r="12" spans="1:17" ht="19.25" customHeight="1" x14ac:dyDescent="0.35">
      <c r="A12" s="96"/>
      <c r="B12" s="2" t="s">
        <v>77</v>
      </c>
      <c r="C12" s="129"/>
      <c r="D12" s="147">
        <f>D10+D11</f>
        <v>0</v>
      </c>
      <c r="E12" s="147">
        <f t="shared" ref="E12:O12" si="3">E10+E11</f>
        <v>7938000</v>
      </c>
      <c r="F12" s="147">
        <f t="shared" si="3"/>
        <v>8731800</v>
      </c>
      <c r="G12" s="147">
        <f t="shared" si="3"/>
        <v>10927350</v>
      </c>
      <c r="H12" s="147">
        <f t="shared" si="3"/>
        <v>8309700</v>
      </c>
      <c r="I12" s="147">
        <f t="shared" si="3"/>
        <v>8725500</v>
      </c>
      <c r="J12" s="147">
        <f t="shared" si="3"/>
        <v>9119250</v>
      </c>
      <c r="K12" s="147">
        <f t="shared" si="3"/>
        <v>11399062.5</v>
      </c>
      <c r="L12" s="147">
        <f t="shared" si="3"/>
        <v>9119250</v>
      </c>
      <c r="M12" s="147">
        <f t="shared" si="3"/>
        <v>9119250</v>
      </c>
      <c r="N12" s="147">
        <f t="shared" si="3"/>
        <v>9922500</v>
      </c>
      <c r="O12" s="147">
        <f t="shared" si="3"/>
        <v>13230000</v>
      </c>
      <c r="P12" s="96"/>
      <c r="Q12" s="96"/>
    </row>
    <row r="13" spans="1:17" ht="19.25" customHeight="1" x14ac:dyDescent="0.35">
      <c r="A13" s="96"/>
      <c r="B13" s="96"/>
      <c r="C13" s="96"/>
      <c r="D13" s="32"/>
      <c r="E13" s="32"/>
      <c r="F13" s="32"/>
      <c r="G13" s="32"/>
      <c r="H13" s="32"/>
      <c r="I13" s="32"/>
      <c r="J13" s="32"/>
      <c r="K13" s="32"/>
      <c r="L13" s="32"/>
      <c r="M13" s="32"/>
      <c r="N13" s="32"/>
      <c r="O13" s="32"/>
      <c r="P13" s="96"/>
      <c r="Q13" s="96"/>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9"/>
  <sheetViews>
    <sheetView topLeftCell="A7" zoomScale="55" zoomScaleNormal="55" workbookViewId="0">
      <selection activeCell="Q27" sqref="Q27"/>
    </sheetView>
  </sheetViews>
  <sheetFormatPr defaultColWidth="8.81640625" defaultRowHeight="19.25" customHeight="1" x14ac:dyDescent="0.35"/>
  <cols>
    <col min="2" max="2" width="36.1796875" bestFit="1" customWidth="1"/>
    <col min="3" max="17" width="15.453125" customWidth="1"/>
  </cols>
  <sheetData>
    <row r="1" spans="1:17" s="43" customFormat="1" ht="19.25" customHeight="1" x14ac:dyDescent="0.35">
      <c r="A1" s="96"/>
      <c r="B1" s="96"/>
      <c r="C1" s="96"/>
      <c r="D1" s="96"/>
      <c r="E1" s="96"/>
      <c r="F1" s="96"/>
      <c r="G1" s="96"/>
      <c r="H1" s="96"/>
      <c r="I1" s="96"/>
      <c r="J1" s="96"/>
      <c r="K1" s="96"/>
      <c r="L1" s="96"/>
      <c r="M1" s="96"/>
      <c r="N1" s="96"/>
      <c r="O1" s="96"/>
      <c r="P1" s="96"/>
      <c r="Q1" s="96"/>
    </row>
    <row r="2" spans="1:17" s="43" customFormat="1" ht="19.25" customHeight="1" x14ac:dyDescent="0.35">
      <c r="A2" s="96"/>
      <c r="B2" s="96"/>
      <c r="C2" s="96"/>
      <c r="D2" s="96"/>
      <c r="E2" s="96"/>
      <c r="F2" s="96"/>
      <c r="G2" s="96"/>
      <c r="H2" s="96"/>
      <c r="I2" s="96"/>
      <c r="J2" s="96"/>
      <c r="K2" s="96"/>
      <c r="L2" s="96"/>
      <c r="M2" s="96"/>
      <c r="N2" s="96"/>
      <c r="O2" s="96"/>
      <c r="P2" s="96"/>
      <c r="Q2" s="96"/>
    </row>
    <row r="3" spans="1:17" s="43" customFormat="1" ht="19.25" customHeight="1" x14ac:dyDescent="0.35">
      <c r="A3" s="96"/>
      <c r="B3" s="96"/>
      <c r="C3" s="96"/>
      <c r="D3" s="96"/>
      <c r="E3" s="96"/>
      <c r="F3" s="96"/>
      <c r="G3" s="96"/>
      <c r="H3" s="96"/>
      <c r="I3" s="96"/>
      <c r="J3" s="96"/>
      <c r="K3" s="96"/>
      <c r="L3" s="96"/>
      <c r="M3" s="96"/>
      <c r="N3" s="96"/>
      <c r="O3" s="96"/>
      <c r="P3" s="96"/>
      <c r="Q3" s="96"/>
    </row>
    <row r="4" spans="1:17" ht="37.25" customHeight="1" x14ac:dyDescent="0.8">
      <c r="A4" s="26" t="s">
        <v>78</v>
      </c>
      <c r="B4" s="96"/>
      <c r="C4" s="96"/>
      <c r="D4" s="96"/>
      <c r="E4" s="96"/>
      <c r="F4" s="96"/>
      <c r="G4" s="96"/>
      <c r="H4" s="96"/>
      <c r="I4" s="96"/>
      <c r="J4" s="96"/>
      <c r="K4" s="96"/>
      <c r="L4" s="96"/>
      <c r="M4" s="96"/>
      <c r="N4" s="96"/>
      <c r="O4" s="96"/>
      <c r="P4" s="96"/>
      <c r="Q4" s="96"/>
    </row>
    <row r="5" spans="1:17" s="43" customFormat="1" ht="19.25" customHeight="1" x14ac:dyDescent="0.8">
      <c r="A5" s="26"/>
      <c r="B5" s="96"/>
      <c r="C5" s="96"/>
      <c r="D5" s="96"/>
      <c r="E5" s="96"/>
      <c r="F5" s="96"/>
      <c r="G5" s="96"/>
      <c r="H5" s="96"/>
      <c r="I5" s="96"/>
      <c r="J5" s="96"/>
      <c r="K5" s="96"/>
      <c r="L5" s="96"/>
      <c r="M5" s="96"/>
      <c r="N5" s="96"/>
      <c r="O5" s="96"/>
      <c r="P5" s="96"/>
      <c r="Q5" s="96"/>
    </row>
    <row r="6" spans="1:17" s="49" customFormat="1" ht="18.5" x14ac:dyDescent="0.45">
      <c r="A6" s="50"/>
      <c r="B6" s="46" t="s">
        <v>33</v>
      </c>
      <c r="C6" s="47" t="s">
        <v>34</v>
      </c>
      <c r="D6" s="47" t="str">
        <f>'Sales Budget'!D6</f>
        <v>Q1, 2021</v>
      </c>
      <c r="E6" s="47" t="str">
        <f>'Sales Budget'!E6</f>
        <v>Q2, 2021</v>
      </c>
      <c r="F6" s="47" t="str">
        <f>'Sales Budget'!F6</f>
        <v>Q3, 2021</v>
      </c>
      <c r="G6" s="47" t="str">
        <f>'Sales Budget'!G6</f>
        <v>Q4, 2021</v>
      </c>
      <c r="H6" s="47" t="str">
        <f>'Sales Budget'!H6</f>
        <v>Q1, 2022</v>
      </c>
      <c r="I6" s="47" t="str">
        <f>'Sales Budget'!I6</f>
        <v>Q2, 2022</v>
      </c>
      <c r="J6" s="47" t="str">
        <f>'Sales Budget'!J6</f>
        <v>Q3, 2022</v>
      </c>
      <c r="K6" s="47" t="str">
        <f>'Sales Budget'!K6</f>
        <v>Q4, 2022</v>
      </c>
      <c r="L6" s="47" t="str">
        <f>'Sales Budget'!L6</f>
        <v>Q1, 2023</v>
      </c>
      <c r="M6" s="47" t="str">
        <f>'Sales Budget'!M6</f>
        <v>Q2, 2023</v>
      </c>
      <c r="N6" s="47" t="str">
        <f>'Sales Budget'!N6</f>
        <v>Q3, 2023</v>
      </c>
      <c r="O6" s="47" t="str">
        <f>'Sales Budget'!O6</f>
        <v>Q4, 2023</v>
      </c>
      <c r="P6" s="48"/>
    </row>
    <row r="7" spans="1:17" ht="19.25" customHeight="1" x14ac:dyDescent="0.35">
      <c r="A7" s="96"/>
      <c r="B7" s="96" t="s">
        <v>79</v>
      </c>
      <c r="C7" s="96"/>
      <c r="D7" s="96">
        <v>10000</v>
      </c>
      <c r="E7" s="96">
        <v>7000</v>
      </c>
      <c r="F7" s="96">
        <v>7000</v>
      </c>
      <c r="G7" s="96">
        <v>10000</v>
      </c>
      <c r="H7" s="96">
        <v>6000</v>
      </c>
      <c r="I7" s="96">
        <v>5000</v>
      </c>
      <c r="J7" s="96">
        <v>5000</v>
      </c>
      <c r="K7" s="96">
        <v>10000</v>
      </c>
      <c r="L7" s="96">
        <v>6000</v>
      </c>
      <c r="M7" s="96">
        <v>6000</v>
      </c>
      <c r="N7" s="96">
        <v>7000</v>
      </c>
      <c r="O7" s="96">
        <v>10000</v>
      </c>
      <c r="P7" s="96"/>
      <c r="Q7" s="96"/>
    </row>
    <row r="8" spans="1:17" ht="19.25" customHeight="1" x14ac:dyDescent="0.35">
      <c r="A8" s="96"/>
      <c r="B8" s="96" t="s">
        <v>80</v>
      </c>
      <c r="C8" s="96"/>
      <c r="D8" s="96">
        <f>1700*1*14+3200*2*3</f>
        <v>43000</v>
      </c>
      <c r="E8" s="96">
        <f>1700*3*14+3200*2*3</f>
        <v>90600</v>
      </c>
      <c r="F8" s="96">
        <f>1700*3*14+3200*2*3</f>
        <v>90600</v>
      </c>
      <c r="G8" s="96">
        <f>1700*3*15+3200*2*3</f>
        <v>95700</v>
      </c>
      <c r="H8" s="96">
        <f>1700*3*15+3200*2*3</f>
        <v>95700</v>
      </c>
      <c r="I8" s="96">
        <f>1700*3*15+3200*2*3</f>
        <v>95700</v>
      </c>
      <c r="J8" s="96">
        <f>1700*3*15+3200*2*3</f>
        <v>95700</v>
      </c>
      <c r="K8" s="96">
        <f>1700*3*16+3200*2*3</f>
        <v>100800</v>
      </c>
      <c r="L8" s="96">
        <f>1700*3*16+3200*3*3</f>
        <v>110400</v>
      </c>
      <c r="M8" s="96">
        <f>1700*3*16+3200*3*3</f>
        <v>110400</v>
      </c>
      <c r="N8" s="96">
        <f>1700*3*17+3200*3*3</f>
        <v>115500</v>
      </c>
      <c r="O8" s="96">
        <f>1700*3*18+3200*3*3</f>
        <v>120600</v>
      </c>
      <c r="P8" s="96"/>
      <c r="Q8" s="96"/>
    </row>
    <row r="9" spans="1:17" ht="19.25" customHeight="1" x14ac:dyDescent="0.35">
      <c r="A9" s="96"/>
      <c r="B9" s="96" t="s">
        <v>81</v>
      </c>
      <c r="C9" s="96"/>
      <c r="D9" s="96">
        <f>600*14+1200*3</f>
        <v>12000</v>
      </c>
      <c r="E9" s="96"/>
      <c r="F9" s="96"/>
      <c r="G9" s="96">
        <v>600</v>
      </c>
      <c r="H9" s="96"/>
      <c r="I9" s="96"/>
      <c r="J9" s="96"/>
      <c r="K9" s="96">
        <v>600</v>
      </c>
      <c r="L9" s="96">
        <v>1200</v>
      </c>
      <c r="M9" s="96"/>
      <c r="N9" s="96">
        <v>600</v>
      </c>
      <c r="O9" s="96">
        <v>600</v>
      </c>
      <c r="P9" s="96"/>
      <c r="Q9" s="96"/>
    </row>
    <row r="10" spans="1:17" ht="19.25" customHeight="1" x14ac:dyDescent="0.35">
      <c r="A10" s="96"/>
      <c r="B10" s="96" t="s">
        <v>82</v>
      </c>
      <c r="C10" s="96"/>
      <c r="D10" s="96"/>
      <c r="E10" s="96">
        <f>('Sales Budget'!E10*0.05*283.5)+('Sales Budget'!E17*0.05*220.5)</f>
        <v>396900</v>
      </c>
      <c r="F10" s="96">
        <f>('Sales Budget'!F10*0.05*283.5)+('Sales Budget'!F17*0.05*220.5)</f>
        <v>436590</v>
      </c>
      <c r="G10" s="96">
        <f>('Sales Budget'!G10*0.05*283.5)+('Sales Budget'!G17*0.05*220.5)</f>
        <v>546367.5</v>
      </c>
      <c r="H10" s="96">
        <f>('Sales Budget'!H10*0.05*283.5)+('Sales Budget'!H17*0.05*220.5)</f>
        <v>415485</v>
      </c>
      <c r="I10" s="96">
        <f>('Sales Budget'!I10*0.05*283.5)+('Sales Budget'!I17*0.05*220.5)</f>
        <v>436275</v>
      </c>
      <c r="J10" s="96">
        <f>('Sales Budget'!J10*0.05*283.5)+('Sales Budget'!J17*0.05*220.5)</f>
        <v>455962.5</v>
      </c>
      <c r="K10" s="96">
        <f>('Sales Budget'!K10*0.05*283.5)+('Sales Budget'!K17*0.05*220.5)</f>
        <v>569953.125</v>
      </c>
      <c r="L10" s="96">
        <f>('Sales Budget'!L10*0.05*283.5)+('Sales Budget'!L17*0.05*220.5)</f>
        <v>455962.5</v>
      </c>
      <c r="M10" s="96">
        <f>('Sales Budget'!M10*0.05*283.5)+('Sales Budget'!M17*0.05*220.5)</f>
        <v>455962.5</v>
      </c>
      <c r="N10" s="96">
        <f>('Sales Budget'!N10*0.05*283.5)+('Sales Budget'!N17*0.05*220.5)</f>
        <v>496125</v>
      </c>
      <c r="O10" s="96">
        <f>('Sales Budget'!O10*0.05*283.5)+('Sales Budget'!O17*0.05*220.5)</f>
        <v>661500</v>
      </c>
      <c r="P10" s="96"/>
      <c r="Q10" s="96"/>
    </row>
    <row r="11" spans="1:17" ht="19.25" customHeight="1" x14ac:dyDescent="0.35">
      <c r="A11" s="96"/>
      <c r="B11" s="96" t="s">
        <v>83</v>
      </c>
      <c r="C11" s="96"/>
      <c r="D11" s="96">
        <f>'Production budget'!E11*3+'Production budget'!E25*3</f>
        <v>112500</v>
      </c>
      <c r="E11" s="96">
        <f>'Production budget'!F11*3+'Production budget'!F25*3</f>
        <v>101250</v>
      </c>
      <c r="F11" s="96">
        <f>'Production budget'!G11*3+'Production budget'!G25*3</f>
        <v>130125</v>
      </c>
      <c r="G11" s="96">
        <f>'Production budget'!H11*3+'Production budget'!H25*3</f>
        <v>82065</v>
      </c>
      <c r="H11" s="96">
        <f>'Production budget'!I11*3+'Production budget'!I25*3</f>
        <v>99960</v>
      </c>
      <c r="I11" s="96">
        <f>'Production budget'!J11*3+'Production budget'!J25*3</f>
        <v>104400</v>
      </c>
      <c r="J11" s="96">
        <f>'Production budget'!K11*3+'Production budget'!K25*3</f>
        <v>134550</v>
      </c>
      <c r="K11" s="96">
        <f>'Production budget'!L11*3+'Production budget'!L25*3</f>
        <v>93150</v>
      </c>
      <c r="L11" s="96">
        <f>'Production budget'!M11*3+'Production budget'!M25*3</f>
        <v>103500</v>
      </c>
      <c r="M11" s="96">
        <f>'Production budget'!N11*3+'Production budget'!N25*3</f>
        <v>113850</v>
      </c>
      <c r="N11" s="96">
        <f>'Production budget'!O11*3+'Production budget'!O25*3</f>
        <v>155625</v>
      </c>
      <c r="O11" s="96">
        <f>'Production budget'!P11*3+'Production budget'!P25*3</f>
        <v>0</v>
      </c>
      <c r="P11" s="96"/>
      <c r="Q11" s="96"/>
    </row>
    <row r="12" spans="1:17" ht="19.25" customHeight="1" x14ac:dyDescent="0.35">
      <c r="A12" s="96"/>
      <c r="B12" s="96" t="s">
        <v>84</v>
      </c>
      <c r="C12" s="96"/>
      <c r="D12" s="96">
        <v>1500</v>
      </c>
      <c r="E12" s="96">
        <v>2000</v>
      </c>
      <c r="F12" s="96">
        <f>E12*1.5</f>
        <v>3000</v>
      </c>
      <c r="G12" s="96">
        <f>F12*1.5</f>
        <v>4500</v>
      </c>
      <c r="H12" s="96">
        <f t="shared" ref="H12:O12" si="0">G12*1</f>
        <v>4500</v>
      </c>
      <c r="I12" s="96">
        <f t="shared" si="0"/>
        <v>4500</v>
      </c>
      <c r="J12" s="96">
        <f t="shared" si="0"/>
        <v>4500</v>
      </c>
      <c r="K12" s="96">
        <f t="shared" si="0"/>
        <v>4500</v>
      </c>
      <c r="L12" s="96">
        <f t="shared" si="0"/>
        <v>4500</v>
      </c>
      <c r="M12" s="96">
        <f t="shared" si="0"/>
        <v>4500</v>
      </c>
      <c r="N12" s="96">
        <f t="shared" si="0"/>
        <v>4500</v>
      </c>
      <c r="O12" s="96">
        <f t="shared" si="0"/>
        <v>4500</v>
      </c>
      <c r="P12" s="96"/>
      <c r="Q12" s="96"/>
    </row>
    <row r="13" spans="1:17" ht="19.25" customHeight="1" x14ac:dyDescent="0.35">
      <c r="A13" s="96"/>
      <c r="B13" s="96" t="s">
        <v>85</v>
      </c>
      <c r="C13" s="96"/>
      <c r="D13" s="96"/>
      <c r="E13" s="96">
        <f>'Sales Budget'!E20*0.15*0.4</f>
        <v>1098000</v>
      </c>
      <c r="F13" s="96">
        <f>'Sales Budget'!F20*0.15*0.4</f>
        <v>1207800</v>
      </c>
      <c r="G13" s="96">
        <f>'Sales Budget'!G20*0.15*0.4</f>
        <v>1511460</v>
      </c>
      <c r="H13" s="96">
        <f>'Sales Budget'!H20*0.15*0.4</f>
        <v>1149480</v>
      </c>
      <c r="I13" s="96">
        <f>'Sales Budget'!I20*0.15*0.4</f>
        <v>1206600</v>
      </c>
      <c r="J13" s="96">
        <f>'Sales Budget'!J20*0.15*0.4</f>
        <v>1260900</v>
      </c>
      <c r="K13" s="96">
        <f>'Sales Budget'!K20*0.15*0.4</f>
        <v>1576125</v>
      </c>
      <c r="L13" s="96">
        <f>'Sales Budget'!L20*0.15*0.4</f>
        <v>1260900</v>
      </c>
      <c r="M13" s="96">
        <f>'Sales Budget'!M20*0.15*0.4</f>
        <v>1260900</v>
      </c>
      <c r="N13" s="96">
        <f>'Sales Budget'!N20*0.15*0.4</f>
        <v>1372500</v>
      </c>
      <c r="O13" s="96">
        <f>'Sales Budget'!O20*0.15*0.4</f>
        <v>1830000</v>
      </c>
      <c r="P13" s="96"/>
      <c r="Q13" s="96"/>
    </row>
    <row r="14" spans="1:17" ht="19.25" customHeight="1" x14ac:dyDescent="0.35">
      <c r="A14" s="96"/>
      <c r="B14" s="96" t="s">
        <v>86</v>
      </c>
      <c r="C14" s="96"/>
      <c r="D14" s="96">
        <v>9450</v>
      </c>
      <c r="E14" s="96">
        <v>9450</v>
      </c>
      <c r="F14" s="96">
        <v>9450</v>
      </c>
      <c r="G14" s="96">
        <v>11340</v>
      </c>
      <c r="H14" s="96">
        <v>11340</v>
      </c>
      <c r="I14" s="96">
        <v>12285</v>
      </c>
      <c r="J14" s="96">
        <v>13860</v>
      </c>
      <c r="K14" s="96">
        <v>16065</v>
      </c>
      <c r="L14" s="96">
        <v>18585</v>
      </c>
      <c r="M14" s="96">
        <v>19215</v>
      </c>
      <c r="N14" s="96">
        <v>20475</v>
      </c>
      <c r="O14" s="96">
        <v>22365</v>
      </c>
      <c r="P14" s="96"/>
      <c r="Q14" s="96"/>
    </row>
    <row r="15" spans="1:17" ht="19.25" customHeight="1" x14ac:dyDescent="0.35">
      <c r="A15" s="96"/>
      <c r="B15" s="96" t="s">
        <v>87</v>
      </c>
      <c r="C15" s="96"/>
      <c r="D15" s="96">
        <v>9360</v>
      </c>
      <c r="E15" s="96">
        <v>6552</v>
      </c>
      <c r="F15" s="96">
        <v>3744</v>
      </c>
      <c r="G15" s="96">
        <v>6552</v>
      </c>
      <c r="H15" s="96">
        <v>9360</v>
      </c>
      <c r="I15" s="96">
        <v>6552</v>
      </c>
      <c r="J15" s="96">
        <v>3744</v>
      </c>
      <c r="K15" s="96">
        <v>6552</v>
      </c>
      <c r="L15" s="96">
        <v>9360</v>
      </c>
      <c r="M15" s="96">
        <v>6552</v>
      </c>
      <c r="N15" s="96">
        <v>3744</v>
      </c>
      <c r="O15" s="96">
        <v>6552</v>
      </c>
      <c r="P15" s="96"/>
      <c r="Q15" s="96"/>
    </row>
    <row r="16" spans="1:17" ht="19.25" customHeight="1" x14ac:dyDescent="0.35">
      <c r="A16" s="96"/>
      <c r="B16" s="96" t="s">
        <v>88</v>
      </c>
      <c r="C16" s="96"/>
      <c r="D16" s="96">
        <f>2200*3+800*3</f>
        <v>9000</v>
      </c>
      <c r="E16" s="96">
        <f t="shared" ref="E16:O16" si="1">2200*3+800*3</f>
        <v>9000</v>
      </c>
      <c r="F16" s="96">
        <f t="shared" si="1"/>
        <v>9000</v>
      </c>
      <c r="G16" s="96">
        <f t="shared" si="1"/>
        <v>9000</v>
      </c>
      <c r="H16" s="96">
        <f t="shared" si="1"/>
        <v>9000</v>
      </c>
      <c r="I16" s="96">
        <f t="shared" si="1"/>
        <v>9000</v>
      </c>
      <c r="J16" s="96">
        <f t="shared" si="1"/>
        <v>9000</v>
      </c>
      <c r="K16" s="96">
        <f t="shared" si="1"/>
        <v>9000</v>
      </c>
      <c r="L16" s="96">
        <f t="shared" si="1"/>
        <v>9000</v>
      </c>
      <c r="M16" s="96">
        <f t="shared" si="1"/>
        <v>9000</v>
      </c>
      <c r="N16" s="96">
        <f t="shared" si="1"/>
        <v>9000</v>
      </c>
      <c r="O16" s="96">
        <f t="shared" si="1"/>
        <v>9000</v>
      </c>
      <c r="P16" s="96"/>
      <c r="Q16" s="96"/>
    </row>
    <row r="17" spans="2:15" ht="19.25" customHeight="1" x14ac:dyDescent="0.35">
      <c r="B17" s="97" t="s">
        <v>89</v>
      </c>
      <c r="C17" s="96"/>
      <c r="D17" s="96">
        <f>SUM(D7:D16)</f>
        <v>206810</v>
      </c>
      <c r="E17" s="96">
        <f t="shared" ref="E17:O17" si="2">SUM(E7:E16)</f>
        <v>1720752</v>
      </c>
      <c r="F17" s="96">
        <f t="shared" si="2"/>
        <v>1897309</v>
      </c>
      <c r="G17" s="96">
        <f t="shared" si="2"/>
        <v>2277584.5</v>
      </c>
      <c r="H17" s="96">
        <f t="shared" si="2"/>
        <v>1800825</v>
      </c>
      <c r="I17" s="96">
        <f t="shared" si="2"/>
        <v>1880312</v>
      </c>
      <c r="J17" s="96">
        <f t="shared" si="2"/>
        <v>1983216.5</v>
      </c>
      <c r="K17" s="96">
        <f t="shared" si="2"/>
        <v>2386745.125</v>
      </c>
      <c r="L17" s="96">
        <f t="shared" si="2"/>
        <v>1979407.5</v>
      </c>
      <c r="M17" s="96">
        <f t="shared" si="2"/>
        <v>1986379.5</v>
      </c>
      <c r="N17" s="96">
        <f t="shared" si="2"/>
        <v>2185069</v>
      </c>
      <c r="O17" s="96">
        <f t="shared" si="2"/>
        <v>2665117</v>
      </c>
    </row>
    <row r="21" spans="2:15" ht="19.25" customHeight="1" x14ac:dyDescent="0.35">
      <c r="B21" s="92"/>
      <c r="C21" s="93"/>
      <c r="D21" s="93"/>
      <c r="E21" s="93"/>
      <c r="F21" s="93"/>
      <c r="G21" s="93"/>
      <c r="H21" s="93"/>
      <c r="I21" s="93"/>
      <c r="J21" s="93"/>
      <c r="K21" s="93"/>
      <c r="L21" s="93"/>
      <c r="M21" s="93"/>
      <c r="N21" s="93"/>
      <c r="O21" s="96"/>
    </row>
    <row r="22" spans="2:15" ht="19.25" customHeight="1" x14ac:dyDescent="0.35">
      <c r="B22" s="92"/>
      <c r="C22" s="94"/>
      <c r="D22" s="94"/>
      <c r="E22" s="94"/>
      <c r="F22" s="94"/>
      <c r="G22" s="94"/>
      <c r="H22" s="94"/>
      <c r="I22" s="94"/>
      <c r="J22" s="94"/>
      <c r="K22" s="94"/>
      <c r="L22" s="94"/>
      <c r="M22" s="94"/>
      <c r="N22" s="94"/>
      <c r="O22" s="96"/>
    </row>
    <row r="23" spans="2:15" ht="19.25" customHeight="1" x14ac:dyDescent="0.35">
      <c r="B23" s="92"/>
      <c r="C23" s="94"/>
      <c r="D23" s="94"/>
      <c r="E23" s="94"/>
      <c r="F23" s="94"/>
      <c r="G23" s="94"/>
      <c r="H23" s="94"/>
      <c r="I23" s="94"/>
      <c r="J23" s="94"/>
      <c r="K23" s="94"/>
      <c r="L23" s="94"/>
      <c r="M23" s="94"/>
      <c r="N23" s="94"/>
      <c r="O23" s="96"/>
    </row>
    <row r="24" spans="2:15" ht="19.25" customHeight="1" x14ac:dyDescent="0.35">
      <c r="B24" s="92"/>
      <c r="C24" s="94"/>
      <c r="D24" s="94"/>
      <c r="E24" s="94"/>
      <c r="F24" s="94"/>
      <c r="G24" s="94"/>
      <c r="H24" s="94"/>
      <c r="I24" s="94"/>
      <c r="J24" s="94"/>
      <c r="K24" s="94"/>
      <c r="L24" s="94"/>
      <c r="M24" s="94"/>
      <c r="N24" s="94"/>
      <c r="O24" s="96"/>
    </row>
    <row r="25" spans="2:15" ht="19.25" customHeight="1" x14ac:dyDescent="0.35">
      <c r="B25" s="92"/>
      <c r="C25" s="94"/>
      <c r="D25" s="94"/>
      <c r="E25" s="94"/>
      <c r="F25" s="94"/>
      <c r="G25" s="94"/>
      <c r="H25" s="94"/>
      <c r="I25" s="94"/>
      <c r="J25" s="94"/>
      <c r="K25" s="94"/>
      <c r="L25" s="94"/>
      <c r="M25" s="94"/>
      <c r="N25" s="94"/>
      <c r="O25" s="96"/>
    </row>
    <row r="26" spans="2:15" ht="19.25" customHeight="1" x14ac:dyDescent="0.35">
      <c r="B26" s="92"/>
      <c r="C26" s="94"/>
      <c r="D26" s="94"/>
      <c r="E26" s="94"/>
      <c r="F26" s="94"/>
      <c r="G26" s="94"/>
      <c r="H26" s="94"/>
      <c r="I26" s="94"/>
      <c r="J26" s="94"/>
      <c r="K26" s="94"/>
      <c r="L26" s="94"/>
      <c r="M26" s="94"/>
      <c r="N26" s="94"/>
      <c r="O26" s="96"/>
    </row>
    <row r="27" spans="2:15" ht="19.25" customHeight="1" x14ac:dyDescent="0.35">
      <c r="B27" s="92"/>
      <c r="C27" s="94"/>
      <c r="D27" s="94"/>
      <c r="E27" s="94"/>
      <c r="F27" s="94"/>
      <c r="G27" s="94"/>
      <c r="H27" s="94"/>
      <c r="I27" s="94"/>
      <c r="J27" s="94"/>
      <c r="K27" s="94"/>
      <c r="L27" s="94"/>
      <c r="M27" s="94"/>
      <c r="N27" s="94"/>
      <c r="O27" s="96"/>
    </row>
    <row r="28" spans="2:15" ht="19.25" customHeight="1" x14ac:dyDescent="0.35">
      <c r="B28" s="92"/>
      <c r="C28" s="94"/>
      <c r="D28" s="94"/>
      <c r="E28" s="94"/>
      <c r="F28" s="94"/>
      <c r="G28" s="94"/>
      <c r="H28" s="94"/>
      <c r="I28" s="94"/>
      <c r="J28" s="94"/>
      <c r="K28" s="94"/>
      <c r="L28" s="94"/>
      <c r="M28" s="94"/>
      <c r="N28" s="94"/>
      <c r="O28" s="96"/>
    </row>
    <row r="29" spans="2:15" ht="19.25" customHeight="1" x14ac:dyDescent="0.35">
      <c r="B29" s="92"/>
      <c r="C29" s="94"/>
      <c r="D29" s="94"/>
      <c r="E29" s="94"/>
      <c r="F29" s="94"/>
      <c r="G29" s="94"/>
      <c r="H29" s="94"/>
      <c r="I29" s="94"/>
      <c r="J29" s="94"/>
      <c r="K29" s="94"/>
      <c r="L29" s="94"/>
      <c r="M29" s="94"/>
      <c r="N29" s="94"/>
      <c r="O29" s="96"/>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P30"/>
  <sheetViews>
    <sheetView topLeftCell="A4" zoomScale="65" zoomScaleNormal="100" workbookViewId="0">
      <selection activeCell="G8" sqref="G8"/>
    </sheetView>
  </sheetViews>
  <sheetFormatPr defaultColWidth="15.453125" defaultRowHeight="19.25" customHeight="1" x14ac:dyDescent="0.35"/>
  <cols>
    <col min="1" max="1" width="47.1796875" style="100" customWidth="1"/>
    <col min="2" max="3" width="15.453125" style="100"/>
    <col min="4" max="8" width="19.1796875" style="100" bestFit="1" customWidth="1"/>
    <col min="9" max="15" width="20.54296875" style="100" bestFit="1" customWidth="1"/>
    <col min="16" max="46" width="15.54296875" style="100" bestFit="1" customWidth="1"/>
    <col min="47" max="16384" width="15.453125" style="100"/>
  </cols>
  <sheetData>
    <row r="4" spans="1:16" ht="38.15" customHeight="1" x14ac:dyDescent="0.8">
      <c r="A4" s="99" t="s">
        <v>90</v>
      </c>
    </row>
    <row r="5" spans="1:16" ht="19.25" customHeight="1" x14ac:dyDescent="0.35">
      <c r="A5" s="100" t="s">
        <v>91</v>
      </c>
    </row>
    <row r="6" spans="1:16" s="104" customFormat="1" ht="18.5" x14ac:dyDescent="0.45">
      <c r="A6" s="159"/>
      <c r="B6" s="101" t="s">
        <v>33</v>
      </c>
      <c r="C6" s="102" t="s">
        <v>34</v>
      </c>
      <c r="D6" s="102" t="str">
        <f>'Sales Budget'!D6</f>
        <v>Q1, 2021</v>
      </c>
      <c r="E6" s="102" t="str">
        <f>'Sales Budget'!E6</f>
        <v>Q2, 2021</v>
      </c>
      <c r="F6" s="102" t="str">
        <f>'Sales Budget'!F6</f>
        <v>Q3, 2021</v>
      </c>
      <c r="G6" s="102" t="str">
        <f>'Sales Budget'!G6</f>
        <v>Q4, 2021</v>
      </c>
      <c r="H6" s="102" t="str">
        <f>'Sales Budget'!H6</f>
        <v>Q1, 2022</v>
      </c>
      <c r="I6" s="102" t="str">
        <f>'Sales Budget'!I6</f>
        <v>Q2, 2022</v>
      </c>
      <c r="J6" s="102" t="str">
        <f>'Sales Budget'!J6</f>
        <v>Q3, 2022</v>
      </c>
      <c r="K6" s="102" t="str">
        <f>'Sales Budget'!K6</f>
        <v>Q4, 2022</v>
      </c>
      <c r="L6" s="102" t="str">
        <f>'Sales Budget'!L6</f>
        <v>Q1, 2023</v>
      </c>
      <c r="M6" s="102" t="str">
        <f>'Sales Budget'!M6</f>
        <v>Q2, 2023</v>
      </c>
      <c r="N6" s="102" t="str">
        <f>'Sales Budget'!N6</f>
        <v>Q3, 2023</v>
      </c>
      <c r="O6" s="102" t="str">
        <f>'Sales Budget'!O6</f>
        <v>Q4, 2023</v>
      </c>
      <c r="P6" s="103"/>
    </row>
    <row r="7" spans="1:16" ht="19.25" customHeight="1" x14ac:dyDescent="0.35">
      <c r="A7" s="160"/>
      <c r="B7" s="161" t="s">
        <v>92</v>
      </c>
      <c r="C7" s="161"/>
      <c r="D7" s="161">
        <f>'Sales Budget'!D20</f>
        <v>0</v>
      </c>
      <c r="E7" s="161">
        <f>'Sales Budget'!E20</f>
        <v>18300000</v>
      </c>
      <c r="F7" s="161">
        <f>'Sales Budget'!F20</f>
        <v>20130000</v>
      </c>
      <c r="G7" s="161">
        <f>'Sales Budget'!G20</f>
        <v>25191000</v>
      </c>
      <c r="H7" s="161">
        <f>'Sales Budget'!H20</f>
        <v>19158000</v>
      </c>
      <c r="I7" s="161">
        <f>'Sales Budget'!I20</f>
        <v>20110000</v>
      </c>
      <c r="J7" s="161">
        <f>'Sales Budget'!J20</f>
        <v>21015000</v>
      </c>
      <c r="K7" s="161">
        <f>'Sales Budget'!K20</f>
        <v>26268750</v>
      </c>
      <c r="L7" s="161">
        <f>'Sales Budget'!L20</f>
        <v>21015000</v>
      </c>
      <c r="M7" s="161">
        <f>'Sales Budget'!M20</f>
        <v>21015000</v>
      </c>
      <c r="N7" s="161">
        <f>'Sales Budget'!N20</f>
        <v>22875000</v>
      </c>
      <c r="O7" s="161">
        <f>'Sales Budget'!O20</f>
        <v>30500000</v>
      </c>
    </row>
    <row r="8" spans="1:16" ht="19.25" customHeight="1" x14ac:dyDescent="0.45">
      <c r="A8" s="170" t="s">
        <v>93</v>
      </c>
      <c r="B8" s="161" t="s">
        <v>94</v>
      </c>
      <c r="C8" s="161"/>
      <c r="D8" s="161">
        <f>COGM!D12</f>
        <v>0</v>
      </c>
      <c r="E8" s="161">
        <f>COGM!E12</f>
        <v>9922500</v>
      </c>
      <c r="F8" s="161">
        <f>COGM!F12</f>
        <v>8930250</v>
      </c>
      <c r="G8" s="161">
        <f>COGM!G12</f>
        <v>11476237.5</v>
      </c>
      <c r="H8" s="161">
        <f>COGM!H12</f>
        <v>7239802.5</v>
      </c>
      <c r="I8" s="161">
        <f>COGM!I12</f>
        <v>8808660</v>
      </c>
      <c r="J8" s="161">
        <f>COGM!J12</f>
        <v>9198000</v>
      </c>
      <c r="K8" s="161">
        <f>COGM!K12</f>
        <v>11855025</v>
      </c>
      <c r="L8" s="161">
        <f>COGM!L12</f>
        <v>8207325</v>
      </c>
      <c r="M8" s="161">
        <f>COGM!M12</f>
        <v>9119250</v>
      </c>
      <c r="N8" s="161">
        <f>COGM!N12</f>
        <v>10042987.5</v>
      </c>
      <c r="O8" s="161">
        <f>COGM!O12</f>
        <v>13726125</v>
      </c>
    </row>
    <row r="9" spans="1:16" ht="19.25" customHeight="1" x14ac:dyDescent="0.45">
      <c r="A9" s="172"/>
      <c r="B9" s="161" t="s">
        <v>95</v>
      </c>
      <c r="C9" s="161"/>
      <c r="D9" s="161">
        <f>'SG&amp;A'!D17</f>
        <v>206810</v>
      </c>
      <c r="E9" s="161">
        <f>'SG&amp;A'!E17</f>
        <v>1720752</v>
      </c>
      <c r="F9" s="161">
        <f>'SG&amp;A'!F17</f>
        <v>1897309</v>
      </c>
      <c r="G9" s="161">
        <f>'SG&amp;A'!G17</f>
        <v>2277584.5</v>
      </c>
      <c r="H9" s="161">
        <f>'SG&amp;A'!H17</f>
        <v>1800825</v>
      </c>
      <c r="I9" s="161">
        <f>'SG&amp;A'!I17</f>
        <v>1880312</v>
      </c>
      <c r="J9" s="161">
        <f>'SG&amp;A'!J17</f>
        <v>1983216.5</v>
      </c>
      <c r="K9" s="161">
        <f>'SG&amp;A'!K17</f>
        <v>2386745.125</v>
      </c>
      <c r="L9" s="161">
        <f>'SG&amp;A'!L17</f>
        <v>1979407.5</v>
      </c>
      <c r="M9" s="161">
        <f>'SG&amp;A'!M17</f>
        <v>1986379.5</v>
      </c>
      <c r="N9" s="161">
        <f>'SG&amp;A'!N17</f>
        <v>2185069</v>
      </c>
      <c r="O9" s="161">
        <f>'SG&amp;A'!O17</f>
        <v>2665117</v>
      </c>
    </row>
    <row r="10" spans="1:16" ht="19.25" customHeight="1" x14ac:dyDescent="0.45">
      <c r="A10" s="171" t="s">
        <v>96</v>
      </c>
      <c r="B10" s="167" t="s">
        <v>97</v>
      </c>
      <c r="C10" s="168"/>
      <c r="D10" s="160">
        <f>D7-D8-D9</f>
        <v>-206810</v>
      </c>
      <c r="E10" s="160">
        <f t="shared" ref="E10:O10" si="0">E7-E8-E9</f>
        <v>6656748</v>
      </c>
      <c r="F10" s="160">
        <f t="shared" si="0"/>
        <v>9302441</v>
      </c>
      <c r="G10" s="160">
        <f t="shared" si="0"/>
        <v>11437178</v>
      </c>
      <c r="H10" s="160">
        <f t="shared" si="0"/>
        <v>10117372.5</v>
      </c>
      <c r="I10" s="160">
        <f t="shared" si="0"/>
        <v>9421028</v>
      </c>
      <c r="J10" s="160">
        <f t="shared" si="0"/>
        <v>9833783.5</v>
      </c>
      <c r="K10" s="160">
        <f t="shared" si="0"/>
        <v>12026979.875</v>
      </c>
      <c r="L10" s="160">
        <f t="shared" si="0"/>
        <v>10828267.5</v>
      </c>
      <c r="M10" s="160">
        <f>M7-M8-M9</f>
        <v>9909370.5</v>
      </c>
      <c r="N10" s="160">
        <f t="shared" si="0"/>
        <v>10646943.5</v>
      </c>
      <c r="O10" s="160">
        <f t="shared" si="0"/>
        <v>14108758</v>
      </c>
    </row>
    <row r="11" spans="1:16" ht="19.25" customHeight="1" x14ac:dyDescent="0.45">
      <c r="A11" s="170"/>
      <c r="B11" s="161"/>
      <c r="C11" s="161"/>
      <c r="D11" s="161"/>
      <c r="E11" s="161"/>
      <c r="F11" s="161"/>
      <c r="G11" s="161"/>
      <c r="H11" s="161"/>
      <c r="I11" s="161"/>
      <c r="J11" s="161"/>
      <c r="K11" s="161"/>
      <c r="L11" s="161"/>
      <c r="M11" s="161"/>
      <c r="N11" s="161"/>
      <c r="O11" s="161"/>
    </row>
    <row r="12" spans="1:16" ht="19.25" customHeight="1" x14ac:dyDescent="0.35">
      <c r="A12" s="161"/>
      <c r="B12" s="161"/>
      <c r="C12" s="161"/>
      <c r="D12" s="161"/>
      <c r="E12" s="161"/>
      <c r="F12" s="161"/>
      <c r="G12" s="161"/>
      <c r="H12" s="161"/>
      <c r="I12" s="161"/>
      <c r="J12" s="161"/>
      <c r="K12" s="161"/>
      <c r="L12" s="161"/>
      <c r="M12" s="161"/>
      <c r="N12" s="161"/>
      <c r="O12" s="161"/>
    </row>
    <row r="13" spans="1:16" ht="19.25" customHeight="1" x14ac:dyDescent="0.45">
      <c r="A13" s="170"/>
      <c r="B13" s="161"/>
      <c r="C13" s="161"/>
      <c r="D13" s="161"/>
      <c r="E13" s="161"/>
      <c r="F13" s="161"/>
      <c r="G13" s="161"/>
      <c r="H13" s="161"/>
      <c r="I13" s="161"/>
      <c r="J13" s="161"/>
      <c r="K13" s="161"/>
      <c r="L13" s="161"/>
      <c r="M13" s="161"/>
      <c r="N13" s="161"/>
      <c r="O13" s="161"/>
    </row>
    <row r="14" spans="1:16" ht="19.25" customHeight="1" x14ac:dyDescent="0.35">
      <c r="A14" s="161"/>
      <c r="B14" s="162" t="s">
        <v>98</v>
      </c>
      <c r="C14" s="162"/>
      <c r="D14" s="162">
        <f>D10</f>
        <v>-206810</v>
      </c>
      <c r="E14" s="162">
        <f t="shared" ref="E14:O14" si="1">E10</f>
        <v>6656748</v>
      </c>
      <c r="F14" s="162">
        <f t="shared" si="1"/>
        <v>9302441</v>
      </c>
      <c r="G14" s="162">
        <f t="shared" si="1"/>
        <v>11437178</v>
      </c>
      <c r="H14" s="162">
        <f t="shared" si="1"/>
        <v>10117372.5</v>
      </c>
      <c r="I14" s="162">
        <f t="shared" si="1"/>
        <v>9421028</v>
      </c>
      <c r="J14" s="162">
        <f t="shared" si="1"/>
        <v>9833783.5</v>
      </c>
      <c r="K14" s="162">
        <f t="shared" si="1"/>
        <v>12026979.875</v>
      </c>
      <c r="L14" s="162">
        <f t="shared" si="1"/>
        <v>10828267.5</v>
      </c>
      <c r="M14" s="162">
        <f>M10</f>
        <v>9909370.5</v>
      </c>
      <c r="N14" s="162">
        <f t="shared" si="1"/>
        <v>10646943.5</v>
      </c>
      <c r="O14" s="162">
        <f t="shared" si="1"/>
        <v>14108758</v>
      </c>
    </row>
    <row r="15" spans="1:16" ht="19.25" customHeight="1" x14ac:dyDescent="0.35">
      <c r="A15" s="161"/>
      <c r="B15" s="162" t="s">
        <v>99</v>
      </c>
      <c r="C15" s="162"/>
      <c r="D15" s="162">
        <v>12000000</v>
      </c>
      <c r="E15" s="162">
        <f t="shared" ref="E15:O15" si="2">D16</f>
        <v>11793190</v>
      </c>
      <c r="F15" s="162">
        <f t="shared" si="2"/>
        <v>18449938</v>
      </c>
      <c r="G15" s="162">
        <f t="shared" si="2"/>
        <v>27752379</v>
      </c>
      <c r="H15" s="162">
        <f t="shared" si="2"/>
        <v>39189557</v>
      </c>
      <c r="I15" s="162">
        <f t="shared" si="2"/>
        <v>49306929.5</v>
      </c>
      <c r="J15" s="162">
        <f t="shared" si="2"/>
        <v>58727957.5</v>
      </c>
      <c r="K15" s="162">
        <f t="shared" si="2"/>
        <v>68561741</v>
      </c>
      <c r="L15" s="162">
        <f t="shared" si="2"/>
        <v>80588720.875</v>
      </c>
      <c r="M15" s="162">
        <f t="shared" si="2"/>
        <v>91416988.375</v>
      </c>
      <c r="N15" s="162">
        <f t="shared" si="2"/>
        <v>101326358.875</v>
      </c>
      <c r="O15" s="162">
        <f t="shared" si="2"/>
        <v>111973302.375</v>
      </c>
    </row>
    <row r="16" spans="1:16" ht="19.25" customHeight="1" x14ac:dyDescent="0.35">
      <c r="A16" s="173"/>
      <c r="B16" s="160" t="s">
        <v>100</v>
      </c>
      <c r="C16" s="162"/>
      <c r="D16" s="160">
        <f t="shared" ref="D16:O16" si="3">D15+D14</f>
        <v>11793190</v>
      </c>
      <c r="E16" s="160">
        <f t="shared" si="3"/>
        <v>18449938</v>
      </c>
      <c r="F16" s="160">
        <f t="shared" si="3"/>
        <v>27752379</v>
      </c>
      <c r="G16" s="160">
        <f t="shared" si="3"/>
        <v>39189557</v>
      </c>
      <c r="H16" s="160">
        <f t="shared" si="3"/>
        <v>49306929.5</v>
      </c>
      <c r="I16" s="160">
        <f t="shared" si="3"/>
        <v>58727957.5</v>
      </c>
      <c r="J16" s="160">
        <f t="shared" si="3"/>
        <v>68561741</v>
      </c>
      <c r="K16" s="160">
        <f t="shared" si="3"/>
        <v>80588720.875</v>
      </c>
      <c r="L16" s="160">
        <f t="shared" si="3"/>
        <v>91416988.375</v>
      </c>
      <c r="M16" s="160">
        <f t="shared" si="3"/>
        <v>101326358.875</v>
      </c>
      <c r="N16" s="160">
        <f t="shared" si="3"/>
        <v>111973302.375</v>
      </c>
      <c r="O16" s="160">
        <f t="shared" si="3"/>
        <v>126082060.375</v>
      </c>
    </row>
    <row r="17" spans="1:15" ht="19.25" customHeight="1" x14ac:dyDescent="0.45">
      <c r="A17" s="169"/>
      <c r="B17" s="100" t="s">
        <v>101</v>
      </c>
      <c r="D17" s="166"/>
      <c r="E17" s="105"/>
      <c r="F17" s="164"/>
      <c r="G17" s="165"/>
      <c r="H17" s="165"/>
      <c r="I17" s="165"/>
      <c r="J17" s="165"/>
      <c r="K17" s="165"/>
      <c r="L17" s="165"/>
      <c r="M17" s="165"/>
      <c r="N17" s="165"/>
      <c r="O17" s="164"/>
    </row>
    <row r="18" spans="1:15" ht="19.25" customHeight="1" x14ac:dyDescent="0.45">
      <c r="A18" s="174"/>
      <c r="D18" s="107"/>
      <c r="E18" s="105"/>
      <c r="F18" s="163"/>
      <c r="G18" s="163"/>
      <c r="H18" s="163"/>
      <c r="I18" s="163"/>
      <c r="J18" s="163"/>
      <c r="K18" s="163"/>
      <c r="L18" s="163"/>
      <c r="M18" s="163"/>
      <c r="N18" s="163"/>
    </row>
    <row r="19" spans="1:15" ht="19.25" customHeight="1" x14ac:dyDescent="0.45">
      <c r="A19" s="169"/>
    </row>
    <row r="20" spans="1:15" ht="19.25" customHeight="1" x14ac:dyDescent="0.45">
      <c r="A20" s="169"/>
    </row>
    <row r="21" spans="1:15" ht="19.25" customHeight="1" x14ac:dyDescent="0.45">
      <c r="A21" s="169"/>
    </row>
    <row r="22" spans="1:15" ht="19.25" customHeight="1" x14ac:dyDescent="0.45">
      <c r="A22" s="169"/>
    </row>
    <row r="23" spans="1:15" ht="19.25" customHeight="1" x14ac:dyDescent="0.45">
      <c r="A23" s="169"/>
    </row>
    <row r="24" spans="1:15" ht="19.25" customHeight="1" x14ac:dyDescent="0.45">
      <c r="A24" s="174"/>
    </row>
    <row r="25" spans="1:15" ht="19.25" customHeight="1" x14ac:dyDescent="0.45">
      <c r="A25" s="175"/>
    </row>
    <row r="26" spans="1:15" ht="19.25" customHeight="1" x14ac:dyDescent="0.45">
      <c r="A26" s="107"/>
    </row>
    <row r="27" spans="1:15" ht="19.25" customHeight="1" x14ac:dyDescent="0.45">
      <c r="A27" s="106"/>
    </row>
    <row r="28" spans="1:15" s="105" customFormat="1" ht="19.25" customHeight="1" x14ac:dyDescent="0.45"/>
    <row r="29" spans="1:15" s="105" customFormat="1" ht="19.25" customHeight="1" x14ac:dyDescent="0.45"/>
    <row r="30" spans="1:15" s="105" customFormat="1" ht="19.25" customHeight="1" x14ac:dyDescent="0.45"/>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98F99-5889-4618-89E2-2BCC9A0C1E19}">
  <dimension ref="A1:P26"/>
  <sheetViews>
    <sheetView tabSelected="1" topLeftCell="B1" zoomScale="85" zoomScaleNormal="85" workbookViewId="0">
      <selection activeCell="H14" sqref="H14"/>
    </sheetView>
  </sheetViews>
  <sheetFormatPr defaultRowHeight="14.5" x14ac:dyDescent="0.35"/>
  <cols>
    <col min="3" max="3" width="28.1796875" customWidth="1"/>
    <col min="5" max="5" width="20.1796875" customWidth="1"/>
    <col min="6" max="6" width="22.1796875" customWidth="1"/>
    <col min="7" max="7" width="19.81640625" customWidth="1"/>
    <col min="8" max="8" width="16.1796875" customWidth="1"/>
  </cols>
  <sheetData>
    <row r="1" spans="1:16" x14ac:dyDescent="0.35">
      <c r="A1" s="96" t="s">
        <v>102</v>
      </c>
      <c r="B1" s="96"/>
      <c r="C1" s="96"/>
      <c r="D1" s="96"/>
      <c r="E1" s="96"/>
      <c r="F1" s="96"/>
      <c r="G1" s="96"/>
      <c r="H1" s="96"/>
      <c r="I1" s="96"/>
      <c r="J1" s="96"/>
      <c r="K1" s="96"/>
      <c r="L1" s="96"/>
      <c r="M1" s="96"/>
      <c r="N1" s="96"/>
      <c r="O1" s="96"/>
      <c r="P1" s="96"/>
    </row>
    <row r="3" spans="1:16" ht="36" x14ac:dyDescent="0.8">
      <c r="A3" s="96"/>
      <c r="B3" s="26" t="s">
        <v>102</v>
      </c>
      <c r="C3" s="134"/>
      <c r="D3" s="134"/>
      <c r="E3" s="134"/>
      <c r="F3" s="134"/>
      <c r="G3" s="96"/>
      <c r="H3" s="96"/>
      <c r="I3" s="96"/>
      <c r="J3" s="96"/>
      <c r="K3" s="96"/>
      <c r="L3" s="96"/>
      <c r="M3" s="96"/>
      <c r="N3" s="96"/>
      <c r="O3" s="96"/>
      <c r="P3" s="96"/>
    </row>
    <row r="4" spans="1:16" ht="15.5" x14ac:dyDescent="0.35">
      <c r="A4" s="96"/>
      <c r="B4" s="135"/>
      <c r="C4" s="135"/>
      <c r="D4" s="135"/>
      <c r="E4" s="135"/>
      <c r="F4" s="135"/>
      <c r="G4" s="96"/>
      <c r="H4" s="96"/>
      <c r="I4" s="96"/>
      <c r="J4" s="96"/>
      <c r="K4" s="96"/>
      <c r="L4" s="96"/>
      <c r="M4" s="96"/>
      <c r="N4" s="96"/>
      <c r="O4" s="96"/>
      <c r="P4" s="96"/>
    </row>
    <row r="5" spans="1:16" ht="15.5" x14ac:dyDescent="0.35">
      <c r="A5" s="96"/>
      <c r="B5" s="135"/>
      <c r="C5" s="135"/>
      <c r="D5" s="136" t="s">
        <v>34</v>
      </c>
      <c r="E5" s="136" t="s">
        <v>103</v>
      </c>
      <c r="F5" s="136" t="s">
        <v>104</v>
      </c>
      <c r="G5" s="141" t="s">
        <v>105</v>
      </c>
      <c r="H5" s="96"/>
      <c r="I5" s="96"/>
      <c r="J5" s="96"/>
      <c r="K5" s="96"/>
      <c r="L5" s="96"/>
      <c r="M5" s="96"/>
      <c r="N5" s="96"/>
      <c r="O5" s="96"/>
      <c r="P5" s="96"/>
    </row>
    <row r="6" spans="1:16" ht="15.5" x14ac:dyDescent="0.35">
      <c r="A6" s="96"/>
      <c r="B6" s="135"/>
      <c r="C6" s="135" t="s">
        <v>106</v>
      </c>
      <c r="D6" s="135"/>
      <c r="E6" s="142">
        <f>'Sales Budget'!O43</f>
        <v>53544600</v>
      </c>
      <c r="F6" s="142">
        <f>'Sales Budget'!O64</f>
        <v>64549450.000000007</v>
      </c>
      <c r="G6" s="143">
        <f>'Sales Budget'!O85</f>
        <v>70596000</v>
      </c>
      <c r="H6" s="96"/>
      <c r="I6" s="96"/>
      <c r="J6" s="96"/>
      <c r="K6" s="96"/>
      <c r="L6" s="96"/>
      <c r="M6" s="96"/>
      <c r="N6" s="96"/>
      <c r="O6" s="96"/>
      <c r="P6" s="96"/>
    </row>
    <row r="7" spans="1:16" ht="15.5" x14ac:dyDescent="0.35">
      <c r="A7" s="96"/>
      <c r="B7" s="135"/>
      <c r="C7" s="96" t="s">
        <v>107</v>
      </c>
      <c r="D7" s="96"/>
      <c r="E7" s="143">
        <f>(SUM('Sales Budget'!E10:G10)+SUM('Sales Budget'!E17:G17))*0.1</f>
        <v>10430</v>
      </c>
      <c r="F7" s="143">
        <f>(SUM('Sales Budget'!H10:K10)+SUM('Sales Budget'!H17:K17))*0.1</f>
        <v>14202.5</v>
      </c>
      <c r="G7" s="143">
        <f>(SUM('Sales Budget'!L10:O10)+SUM('Sales Budget'!L17:O17))*0.1</f>
        <v>15650</v>
      </c>
      <c r="H7" s="96"/>
      <c r="I7" s="96"/>
      <c r="J7" s="96"/>
      <c r="K7" s="96"/>
      <c r="L7" s="96"/>
      <c r="M7" s="96"/>
      <c r="N7" s="96"/>
      <c r="O7" s="96"/>
      <c r="P7" s="96"/>
    </row>
    <row r="8" spans="1:16" ht="15.5" x14ac:dyDescent="0.35">
      <c r="A8" s="96"/>
      <c r="B8" s="138"/>
      <c r="C8" s="135" t="s">
        <v>108</v>
      </c>
      <c r="D8" s="135"/>
      <c r="E8" s="144">
        <f>SUM(COGS!E12:G12)</f>
        <v>27597150</v>
      </c>
      <c r="F8" s="144">
        <f>SUM(COGS!H12:K12)</f>
        <v>37553512.5</v>
      </c>
      <c r="G8" s="144">
        <f>SUM(COGS!L12:O12)</f>
        <v>41391000</v>
      </c>
      <c r="H8" s="96"/>
      <c r="I8" s="96"/>
      <c r="J8" s="96"/>
      <c r="K8" s="96"/>
      <c r="L8" s="96"/>
      <c r="M8" s="96"/>
      <c r="N8" s="96"/>
      <c r="O8" s="96"/>
      <c r="P8" s="96"/>
    </row>
    <row r="9" spans="1:16" ht="15.5" x14ac:dyDescent="0.35">
      <c r="A9" s="96"/>
      <c r="B9" s="135"/>
      <c r="C9" s="139" t="s">
        <v>109</v>
      </c>
      <c r="D9" s="138"/>
      <c r="E9" s="145">
        <f>E6+E7-E8</f>
        <v>25957880</v>
      </c>
      <c r="F9" s="145">
        <f>F6+F7-F8</f>
        <v>27010140.000000007</v>
      </c>
      <c r="G9" s="145">
        <f>G6+G7-G8</f>
        <v>29220650</v>
      </c>
      <c r="H9" s="96"/>
      <c r="I9" s="96"/>
      <c r="J9" s="96"/>
      <c r="K9" s="96"/>
      <c r="L9" s="96"/>
      <c r="M9" s="96"/>
      <c r="N9" s="96"/>
      <c r="O9" s="96"/>
      <c r="P9" s="96"/>
    </row>
    <row r="10" spans="1:16" ht="15.5" x14ac:dyDescent="0.35">
      <c r="A10" s="96"/>
      <c r="B10" s="135"/>
      <c r="C10" s="135"/>
      <c r="D10" s="135"/>
      <c r="E10" s="140"/>
      <c r="F10" s="140"/>
      <c r="G10" s="96"/>
      <c r="H10" s="96"/>
      <c r="I10" s="96"/>
      <c r="J10" s="96"/>
      <c r="K10" s="96"/>
      <c r="L10" s="96"/>
      <c r="M10" s="96"/>
      <c r="N10" s="96"/>
      <c r="O10" s="96"/>
      <c r="P10" s="96"/>
    </row>
    <row r="11" spans="1:16" ht="15.5" x14ac:dyDescent="0.35">
      <c r="A11" s="96"/>
      <c r="B11" s="135"/>
      <c r="C11" s="139" t="s">
        <v>252</v>
      </c>
      <c r="D11" s="135"/>
      <c r="E11" s="140"/>
      <c r="F11" s="140"/>
      <c r="G11" s="96"/>
      <c r="H11" s="96"/>
      <c r="I11" s="96"/>
      <c r="J11" s="96"/>
      <c r="K11" s="96"/>
      <c r="L11" s="96"/>
      <c r="M11" s="96"/>
      <c r="N11" s="96"/>
      <c r="O11" s="96"/>
      <c r="P11" s="96"/>
    </row>
    <row r="12" spans="1:16" ht="15.5" x14ac:dyDescent="0.35">
      <c r="A12" s="96"/>
      <c r="B12" s="135"/>
      <c r="C12" s="96" t="s">
        <v>79</v>
      </c>
      <c r="D12" s="96"/>
      <c r="E12" s="176">
        <f>SUM('SG&amp;A'!D7:G7)</f>
        <v>34000</v>
      </c>
      <c r="F12" s="176">
        <f>SUM('SG&amp;A'!H7:K7)</f>
        <v>26000</v>
      </c>
      <c r="G12" s="176">
        <f>SUM('SG&amp;A'!L7:O7)</f>
        <v>29000</v>
      </c>
      <c r="H12" s="96"/>
      <c r="I12" s="96"/>
      <c r="J12" s="96"/>
      <c r="K12" s="96"/>
      <c r="L12" s="96"/>
      <c r="M12" s="96"/>
      <c r="N12" s="96"/>
      <c r="O12" s="96"/>
      <c r="P12" s="96"/>
    </row>
    <row r="13" spans="1:16" ht="15.5" x14ac:dyDescent="0.35">
      <c r="A13" s="96"/>
      <c r="B13" s="135"/>
      <c r="C13" s="96" t="s">
        <v>80</v>
      </c>
      <c r="D13" s="96"/>
      <c r="E13" s="176">
        <f>SUM('SG&amp;A'!D8:G8)</f>
        <v>319900</v>
      </c>
      <c r="F13" s="176">
        <f>SUM('SG&amp;A'!H8:K8)</f>
        <v>387900</v>
      </c>
      <c r="G13" s="176">
        <f>SUM('SG&amp;A'!L8:O8)</f>
        <v>456900</v>
      </c>
      <c r="H13" s="96"/>
      <c r="I13" s="96"/>
      <c r="J13" s="96"/>
      <c r="K13" s="96"/>
      <c r="L13" s="96"/>
      <c r="M13" s="96"/>
      <c r="N13" s="96"/>
      <c r="O13" s="96"/>
      <c r="P13" s="96"/>
    </row>
    <row r="14" spans="1:16" ht="15.5" x14ac:dyDescent="0.35">
      <c r="A14" s="96"/>
      <c r="B14" s="135"/>
      <c r="C14" s="96" t="s">
        <v>81</v>
      </c>
      <c r="D14" s="96"/>
      <c r="E14" s="176">
        <f>SUM('SG&amp;A'!D9:G9)</f>
        <v>12600</v>
      </c>
      <c r="F14" s="176">
        <f>SUM('SG&amp;A'!H9:K9)</f>
        <v>600</v>
      </c>
      <c r="G14" s="176">
        <f>SUM('SG&amp;A'!L9:O9)</f>
        <v>2400</v>
      </c>
      <c r="H14" s="95"/>
      <c r="I14" s="95"/>
      <c r="J14" s="95"/>
      <c r="K14" s="95"/>
      <c r="L14" s="95"/>
      <c r="M14" s="95"/>
      <c r="N14" s="95"/>
      <c r="O14" s="95"/>
      <c r="P14" s="95"/>
    </row>
    <row r="15" spans="1:16" ht="15.5" x14ac:dyDescent="0.35">
      <c r="A15" s="96"/>
      <c r="B15" s="135"/>
      <c r="C15" s="96" t="s">
        <v>83</v>
      </c>
      <c r="D15" s="96"/>
      <c r="E15" s="218">
        <f>SUM('SG&amp;A'!D11:F11)</f>
        <v>343875</v>
      </c>
      <c r="F15" s="218">
        <f>SUM('SG&amp;A'!G11:J11)</f>
        <v>420975</v>
      </c>
      <c r="G15" s="218">
        <f>SUM('SG&amp;A'!K11:N11)</f>
        <v>466125</v>
      </c>
      <c r="H15" s="96"/>
      <c r="I15" s="96"/>
      <c r="J15" s="96"/>
      <c r="K15" s="96"/>
      <c r="L15" s="96"/>
      <c r="M15" s="96"/>
      <c r="N15" s="96"/>
      <c r="O15" s="96"/>
      <c r="P15" s="96"/>
    </row>
    <row r="16" spans="1:16" ht="15.5" x14ac:dyDescent="0.35">
      <c r="A16" s="96"/>
      <c r="B16" s="135"/>
      <c r="C16" s="96" t="s">
        <v>110</v>
      </c>
      <c r="D16" s="96"/>
      <c r="E16" s="225">
        <f>E9*0.19</f>
        <v>4931997.2</v>
      </c>
      <c r="F16" s="225">
        <f>F9*0.19</f>
        <v>5131926.6000000015</v>
      </c>
      <c r="G16" s="225">
        <f>G9*0.19</f>
        <v>5551923.5</v>
      </c>
      <c r="H16" s="96"/>
      <c r="I16" s="96"/>
      <c r="J16" s="96"/>
      <c r="K16" s="96"/>
      <c r="L16" s="96"/>
      <c r="M16" s="96"/>
      <c r="N16" s="96"/>
      <c r="O16" s="96"/>
      <c r="P16" s="96"/>
    </row>
    <row r="17" spans="2:16" ht="15.5" x14ac:dyDescent="0.35">
      <c r="B17" s="135"/>
      <c r="C17" s="96" t="s">
        <v>84</v>
      </c>
      <c r="D17" s="96"/>
      <c r="E17" s="176">
        <f>SUM('SG&amp;A'!D12:G12)</f>
        <v>11000</v>
      </c>
      <c r="F17" s="176">
        <f>SUM('SG&amp;A'!H12:K12)</f>
        <v>18000</v>
      </c>
      <c r="G17" s="176">
        <f>SUM('SG&amp;A'!L12:O12)</f>
        <v>18000</v>
      </c>
      <c r="H17" s="96"/>
      <c r="I17" s="96"/>
      <c r="J17" s="96"/>
      <c r="K17" s="96"/>
      <c r="L17" s="96"/>
      <c r="M17" s="96"/>
      <c r="N17" s="96"/>
      <c r="O17" s="96"/>
      <c r="P17" s="96"/>
    </row>
    <row r="18" spans="2:16" ht="15.5" x14ac:dyDescent="0.35">
      <c r="B18" s="135"/>
      <c r="C18" s="96" t="s">
        <v>85</v>
      </c>
      <c r="D18" s="96"/>
      <c r="E18" s="176">
        <f>SUM('SG&amp;A'!D13:G13)</f>
        <v>3817260</v>
      </c>
      <c r="F18" s="176">
        <f>SUM('SG&amp;A'!H13:K13)</f>
        <v>5193105</v>
      </c>
      <c r="G18" s="176">
        <f>SUM('SG&amp;A'!L13:O13)</f>
        <v>5724300</v>
      </c>
      <c r="H18" s="96"/>
      <c r="I18" s="96"/>
      <c r="J18" s="96"/>
      <c r="K18" s="96"/>
      <c r="L18" s="96"/>
      <c r="M18" s="96"/>
      <c r="N18" s="96"/>
      <c r="O18" s="96"/>
      <c r="P18" s="96"/>
    </row>
    <row r="19" spans="2:16" ht="15.5" x14ac:dyDescent="0.35">
      <c r="B19" s="135"/>
      <c r="C19" s="96" t="s">
        <v>86</v>
      </c>
      <c r="D19" s="96"/>
      <c r="E19" s="176">
        <f>SUM('SG&amp;A'!D14:G14)</f>
        <v>39690</v>
      </c>
      <c r="F19" s="176">
        <f>SUM('SG&amp;A'!H14:K14)</f>
        <v>53550</v>
      </c>
      <c r="G19" s="176">
        <f>SUM('SG&amp;A'!L14:O14)</f>
        <v>80640</v>
      </c>
      <c r="H19" s="96"/>
      <c r="I19" s="96"/>
      <c r="J19" s="96"/>
      <c r="K19" s="96"/>
      <c r="L19" s="96"/>
      <c r="M19" s="96"/>
      <c r="N19" s="96"/>
      <c r="O19" s="96"/>
      <c r="P19" s="96"/>
    </row>
    <row r="20" spans="2:16" ht="15.5" x14ac:dyDescent="0.35">
      <c r="B20" s="135"/>
      <c r="C20" s="96" t="s">
        <v>87</v>
      </c>
      <c r="D20" s="96"/>
      <c r="E20" s="176">
        <f>SUM('SG&amp;A'!D15:G15)</f>
        <v>26208</v>
      </c>
      <c r="F20" s="176">
        <f>SUM('SG&amp;A'!H15:K15)</f>
        <v>26208</v>
      </c>
      <c r="G20" s="176">
        <f>SUM('SG&amp;A'!L15:O15)</f>
        <v>26208</v>
      </c>
      <c r="H20" s="96"/>
      <c r="I20" s="96"/>
      <c r="J20" s="96"/>
      <c r="K20" s="96"/>
      <c r="L20" s="96"/>
      <c r="M20" s="96"/>
      <c r="N20" s="96"/>
      <c r="O20" s="96"/>
      <c r="P20" s="96"/>
    </row>
    <row r="21" spans="2:16" x14ac:dyDescent="0.35">
      <c r="B21" s="96"/>
      <c r="C21" s="96" t="s">
        <v>88</v>
      </c>
      <c r="D21" s="96"/>
      <c r="E21" s="176">
        <f>SUM('SG&amp;A'!D16:G16)</f>
        <v>36000</v>
      </c>
      <c r="F21" s="176">
        <f>SUM('SG&amp;A'!H16:K16)</f>
        <v>36000</v>
      </c>
      <c r="G21" s="176">
        <f>SUM('SG&amp;A'!L16:O16)</f>
        <v>36000</v>
      </c>
      <c r="H21" s="96"/>
      <c r="I21" s="96"/>
      <c r="J21" s="96"/>
      <c r="K21" s="96"/>
      <c r="L21" s="96"/>
      <c r="M21" s="96"/>
      <c r="N21" s="96"/>
      <c r="O21" s="96"/>
      <c r="P21" s="96"/>
    </row>
    <row r="22" spans="2:16" x14ac:dyDescent="0.35">
      <c r="B22" s="96"/>
      <c r="C22" s="97" t="s">
        <v>32</v>
      </c>
      <c r="D22" s="96"/>
      <c r="E22" s="220">
        <f>SUM(E12:E21)</f>
        <v>9572530.1999999993</v>
      </c>
      <c r="F22" s="220">
        <f t="shared" ref="F22:G22" si="0">SUM(F12:F21)</f>
        <v>11294264.600000001</v>
      </c>
      <c r="G22" s="220">
        <f t="shared" si="0"/>
        <v>12391496.5</v>
      </c>
      <c r="H22" s="96"/>
      <c r="I22" s="96"/>
      <c r="J22" s="96"/>
      <c r="K22" s="96"/>
      <c r="L22" s="96"/>
      <c r="M22" s="96"/>
      <c r="N22" s="96"/>
      <c r="O22" s="96"/>
      <c r="P22" s="96"/>
    </row>
    <row r="24" spans="2:16" x14ac:dyDescent="0.35">
      <c r="B24" s="96"/>
      <c r="C24" s="96" t="s">
        <v>111</v>
      </c>
      <c r="D24" s="137"/>
      <c r="E24" s="219">
        <f>E9-E22</f>
        <v>16385349.800000001</v>
      </c>
      <c r="F24" s="219">
        <f>F9-F22</f>
        <v>15715875.400000006</v>
      </c>
      <c r="G24" s="219">
        <f>G9-G22</f>
        <v>16829153.5</v>
      </c>
      <c r="H24" s="96"/>
      <c r="I24" s="96"/>
      <c r="J24" s="96"/>
      <c r="K24" s="96"/>
      <c r="L24" s="96"/>
      <c r="M24" s="96"/>
      <c r="N24" s="96"/>
      <c r="O24" s="96"/>
      <c r="P24" s="96"/>
    </row>
    <row r="26" spans="2:16" x14ac:dyDescent="0.35">
      <c r="B26" s="96"/>
      <c r="C26" s="96" t="s">
        <v>112</v>
      </c>
      <c r="D26" s="96"/>
      <c r="E26" s="96"/>
      <c r="F26" s="96"/>
      <c r="G26" s="96"/>
      <c r="H26" s="96"/>
      <c r="I26" s="96"/>
      <c r="J26" s="96"/>
      <c r="K26" s="96"/>
      <c r="L26" s="96"/>
      <c r="M26" s="96"/>
      <c r="N26" s="96"/>
      <c r="O26" s="96"/>
      <c r="P26" s="9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topLeftCell="A13" zoomScale="78" zoomScaleNormal="100" workbookViewId="0">
      <selection activeCell="F16" sqref="F16"/>
    </sheetView>
  </sheetViews>
  <sheetFormatPr defaultColWidth="8.81640625" defaultRowHeight="14.5" x14ac:dyDescent="0.35"/>
  <cols>
    <col min="1" max="1" width="49.453125" bestFit="1" customWidth="1"/>
    <col min="2" max="2" width="15.6328125" customWidth="1"/>
    <col min="3" max="5" width="17.453125" customWidth="1"/>
  </cols>
  <sheetData>
    <row r="1" spans="1:16" s="43" customFormat="1" x14ac:dyDescent="0.35">
      <c r="A1" s="96"/>
      <c r="B1" s="96"/>
      <c r="C1" s="96"/>
      <c r="D1" s="96"/>
      <c r="E1" s="96"/>
      <c r="F1" s="96"/>
      <c r="G1" s="96"/>
      <c r="H1" s="96"/>
      <c r="I1" s="96"/>
      <c r="J1" s="96"/>
      <c r="K1" s="96"/>
      <c r="L1" s="96"/>
      <c r="M1" s="96"/>
      <c r="N1" s="96"/>
      <c r="O1" s="96"/>
      <c r="P1" s="96"/>
    </row>
    <row r="2" spans="1:16" s="43" customFormat="1" x14ac:dyDescent="0.35">
      <c r="A2" s="96"/>
      <c r="B2" s="96"/>
      <c r="C2" s="96"/>
      <c r="D2" s="96"/>
      <c r="E2" s="96"/>
      <c r="F2" s="96"/>
      <c r="G2" s="96"/>
      <c r="H2" s="96"/>
      <c r="I2" s="96"/>
      <c r="J2" s="96"/>
      <c r="K2" s="96"/>
      <c r="L2" s="96"/>
      <c r="M2" s="96"/>
      <c r="N2" s="96"/>
      <c r="O2" s="96"/>
      <c r="P2" s="96"/>
    </row>
    <row r="3" spans="1:16" s="43" customFormat="1" x14ac:dyDescent="0.35">
      <c r="A3" s="96"/>
      <c r="B3" s="96"/>
      <c r="C3" s="96"/>
      <c r="D3" s="96"/>
      <c r="E3" s="96"/>
      <c r="F3" s="96"/>
      <c r="G3" s="96"/>
      <c r="H3" s="96"/>
      <c r="I3" s="96"/>
      <c r="J3" s="96"/>
      <c r="K3" s="96"/>
      <c r="L3" s="96"/>
      <c r="M3" s="96"/>
      <c r="N3" s="96"/>
      <c r="O3" s="96"/>
      <c r="P3" s="96"/>
    </row>
    <row r="4" spans="1:16" ht="36" x14ac:dyDescent="0.8">
      <c r="A4" s="26" t="s">
        <v>142</v>
      </c>
      <c r="B4" s="96"/>
      <c r="C4" s="96"/>
      <c r="D4" s="96"/>
      <c r="E4" s="96"/>
      <c r="F4" s="96"/>
      <c r="G4" s="96"/>
      <c r="H4" s="96"/>
      <c r="I4" s="96"/>
      <c r="J4" s="96"/>
      <c r="K4" s="96"/>
      <c r="L4" s="96"/>
      <c r="M4" s="96"/>
      <c r="N4" s="96"/>
      <c r="O4" s="96"/>
      <c r="P4" s="96"/>
    </row>
    <row r="5" spans="1:16" s="43" customFormat="1" ht="19.25" customHeight="1" x14ac:dyDescent="0.35">
      <c r="A5" s="85" t="s">
        <v>143</v>
      </c>
      <c r="B5" s="96"/>
      <c r="C5" s="96"/>
      <c r="D5" s="96"/>
      <c r="E5" s="96"/>
      <c r="F5" s="96"/>
      <c r="G5" s="96"/>
      <c r="H5" s="96"/>
      <c r="I5" s="96"/>
      <c r="J5" s="96"/>
      <c r="K5" s="96"/>
      <c r="L5" s="96"/>
      <c r="M5" s="96"/>
      <c r="N5" s="96"/>
      <c r="O5" s="96"/>
      <c r="P5" s="96"/>
    </row>
    <row r="6" spans="1:16" ht="18.5" x14ac:dyDescent="0.45">
      <c r="A6" s="96"/>
      <c r="B6" s="97" t="s">
        <v>213</v>
      </c>
      <c r="C6" s="78" t="s">
        <v>144</v>
      </c>
      <c r="D6" s="78" t="s">
        <v>145</v>
      </c>
      <c r="E6" s="78" t="s">
        <v>146</v>
      </c>
      <c r="F6" s="96"/>
      <c r="G6" s="96"/>
      <c r="H6" s="96"/>
      <c r="I6" s="96"/>
      <c r="J6" s="96"/>
      <c r="K6" s="96"/>
      <c r="L6" s="96"/>
      <c r="M6" s="96"/>
      <c r="N6" s="96"/>
      <c r="O6" s="96"/>
      <c r="P6" s="96"/>
    </row>
    <row r="7" spans="1:16" x14ac:dyDescent="0.35">
      <c r="A7" s="97" t="s">
        <v>147</v>
      </c>
      <c r="B7" s="96"/>
      <c r="C7" s="96"/>
      <c r="D7" s="96"/>
      <c r="E7" s="96"/>
      <c r="F7" s="96"/>
      <c r="G7" s="96"/>
      <c r="H7" s="96"/>
      <c r="I7" s="96"/>
      <c r="J7" s="96"/>
      <c r="K7" s="96"/>
      <c r="L7" s="96"/>
      <c r="M7" s="96"/>
      <c r="N7" s="96"/>
      <c r="O7" s="96"/>
      <c r="P7" s="96"/>
    </row>
    <row r="8" spans="1:16" x14ac:dyDescent="0.35">
      <c r="A8" s="96" t="s">
        <v>148</v>
      </c>
      <c r="B8" s="96"/>
      <c r="C8" s="37">
        <f>'Income Statement'!E24</f>
        <v>16385349.800000001</v>
      </c>
      <c r="D8" s="37">
        <f>'Income Statement'!F24</f>
        <v>15715875.400000006</v>
      </c>
      <c r="E8" s="37">
        <f>'Income Statement'!G24</f>
        <v>16829153.5</v>
      </c>
      <c r="F8" s="30"/>
      <c r="G8" s="96"/>
      <c r="H8" s="96"/>
      <c r="I8" s="96"/>
      <c r="J8" s="96"/>
      <c r="K8" s="96"/>
      <c r="L8" s="96"/>
      <c r="M8" s="96"/>
      <c r="N8" s="96"/>
      <c r="O8" s="96"/>
      <c r="P8" s="96"/>
    </row>
    <row r="9" spans="1:16" x14ac:dyDescent="0.35">
      <c r="A9" s="222" t="s">
        <v>124</v>
      </c>
      <c r="B9" s="222"/>
      <c r="C9" s="223">
        <f>('SG&amp;A'!D9+'SG&amp;A'!G9)*0.33</f>
        <v>4158</v>
      </c>
      <c r="D9" s="223">
        <f>('SG&amp;A'!D9+'SG&amp;A'!G9+'SG&amp;A'!K9)*0.33</f>
        <v>4356</v>
      </c>
      <c r="E9" s="223">
        <f>SUM('SG&amp;A'!D9:O9)*0.33</f>
        <v>5148</v>
      </c>
      <c r="F9" s="30"/>
      <c r="G9" s="96"/>
      <c r="H9" s="96"/>
      <c r="I9" s="96"/>
      <c r="J9" s="96"/>
      <c r="K9" s="96"/>
      <c r="L9" s="96"/>
      <c r="M9" s="96"/>
      <c r="N9" s="96"/>
      <c r="O9" s="96"/>
      <c r="P9" s="35"/>
    </row>
    <row r="10" spans="1:16" x14ac:dyDescent="0.35">
      <c r="A10" s="96" t="s">
        <v>149</v>
      </c>
      <c r="B10" s="96"/>
      <c r="C10" s="37">
        <f>'Sales Budget'!P44</f>
        <v>10076400</v>
      </c>
      <c r="D10" s="37">
        <f>'Sales Budget'!P65</f>
        <v>10507500</v>
      </c>
      <c r="E10" s="37">
        <f>'Sales Budget'!P86</f>
        <v>12200000</v>
      </c>
      <c r="F10" s="30"/>
      <c r="G10" s="96"/>
      <c r="H10" s="96"/>
      <c r="I10" s="96"/>
      <c r="J10" s="96"/>
      <c r="K10" s="96"/>
      <c r="L10" s="96"/>
      <c r="M10" s="96"/>
      <c r="N10" s="96"/>
      <c r="O10" s="96"/>
      <c r="P10" s="35"/>
    </row>
    <row r="11" spans="1:16" x14ac:dyDescent="0.35">
      <c r="A11" s="96" t="s">
        <v>150</v>
      </c>
      <c r="B11" s="96"/>
      <c r="C11" s="37">
        <f>('Production budget'!G8*283.5+'Production budget'!G22*220.5)</f>
        <v>2731837.5</v>
      </c>
      <c r="D11" s="37">
        <f>('Production budget'!K8*283.5+'Production budget'!K22*220.5)</f>
        <v>2279812.5</v>
      </c>
      <c r="E11" s="37">
        <f>('Production budget'!O8*283.5+'Production budget'!O22*220.5)</f>
        <v>1984500</v>
      </c>
      <c r="F11" s="30"/>
      <c r="G11" s="96"/>
      <c r="H11" s="96"/>
      <c r="I11" s="96"/>
      <c r="J11" s="96"/>
      <c r="K11" s="96"/>
      <c r="L11" s="96"/>
      <c r="M11" s="96"/>
      <c r="N11" s="96"/>
      <c r="O11" s="96"/>
      <c r="P11" s="35"/>
    </row>
    <row r="12" spans="1:16" x14ac:dyDescent="0.35">
      <c r="A12" s="96" t="s">
        <v>151</v>
      </c>
      <c r="B12" s="96"/>
      <c r="C12" s="224" t="s">
        <v>159</v>
      </c>
      <c r="D12" s="224" t="s">
        <v>159</v>
      </c>
      <c r="E12" s="224" t="s">
        <v>159</v>
      </c>
      <c r="F12" s="30"/>
      <c r="G12" s="96"/>
      <c r="H12" s="96"/>
      <c r="I12" s="96"/>
      <c r="J12" s="96"/>
      <c r="K12" s="96"/>
      <c r="L12" s="96"/>
      <c r="M12" s="96"/>
      <c r="N12" s="96"/>
      <c r="O12" s="96"/>
      <c r="P12" s="35"/>
    </row>
    <row r="13" spans="1:16" x14ac:dyDescent="0.35">
      <c r="A13" s="96" t="s">
        <v>152</v>
      </c>
      <c r="B13" s="96"/>
      <c r="C13" s="224" t="s">
        <v>159</v>
      </c>
      <c r="D13" s="224" t="s">
        <v>159</v>
      </c>
      <c r="E13" s="224" t="s">
        <v>159</v>
      </c>
      <c r="F13" s="30"/>
      <c r="G13" s="96"/>
      <c r="H13" s="96"/>
      <c r="I13" s="96"/>
      <c r="J13" s="96"/>
      <c r="K13" s="96"/>
      <c r="L13" s="96"/>
      <c r="M13" s="96"/>
      <c r="N13" s="96"/>
      <c r="O13" s="96"/>
      <c r="P13" s="35"/>
    </row>
    <row r="14" spans="1:16" s="34" customFormat="1" x14ac:dyDescent="0.35">
      <c r="A14" s="96" t="s">
        <v>153</v>
      </c>
      <c r="B14" s="96"/>
      <c r="C14" s="37">
        <f>'Income Statement'!E16</f>
        <v>4931997.2</v>
      </c>
      <c r="D14" s="37">
        <f>'Income Statement'!F16</f>
        <v>5131926.6000000015</v>
      </c>
      <c r="E14" s="37">
        <f>'Income Statement'!G16</f>
        <v>5551923.5</v>
      </c>
      <c r="F14" s="30"/>
      <c r="G14" s="96"/>
      <c r="H14" s="96"/>
      <c r="I14" s="96"/>
      <c r="J14" s="96"/>
      <c r="K14" s="96"/>
      <c r="L14" s="96"/>
      <c r="M14" s="96"/>
      <c r="N14" s="96"/>
      <c r="O14" s="96"/>
      <c r="P14" s="35"/>
    </row>
    <row r="15" spans="1:16" s="34" customFormat="1" x14ac:dyDescent="0.35">
      <c r="A15" s="96"/>
      <c r="B15" s="96"/>
      <c r="C15" s="37"/>
      <c r="D15" s="37"/>
      <c r="E15" s="37"/>
      <c r="F15" s="30"/>
      <c r="G15" s="96"/>
      <c r="H15" s="96"/>
      <c r="I15" s="96"/>
      <c r="J15" s="96"/>
      <c r="K15" s="96"/>
      <c r="L15" s="96"/>
      <c r="M15" s="96"/>
      <c r="N15" s="96"/>
      <c r="O15" s="96"/>
      <c r="P15" s="35"/>
    </row>
    <row r="16" spans="1:16" x14ac:dyDescent="0.35">
      <c r="A16" s="96"/>
      <c r="B16" s="96"/>
      <c r="C16" s="37"/>
      <c r="D16" s="37"/>
      <c r="E16" s="37"/>
      <c r="F16" s="30"/>
      <c r="G16" s="96"/>
      <c r="H16" s="96"/>
      <c r="I16" s="96"/>
      <c r="J16" s="96"/>
      <c r="K16" s="96"/>
      <c r="L16" s="96"/>
      <c r="M16" s="96"/>
      <c r="N16" s="96"/>
      <c r="O16" s="96"/>
      <c r="P16" s="35"/>
    </row>
    <row r="17" spans="1:16" x14ac:dyDescent="0.35">
      <c r="A17" s="29" t="s">
        <v>154</v>
      </c>
      <c r="B17" s="27"/>
      <c r="C17" s="38">
        <f>SUM(C8:C11)-C14</f>
        <v>24265748.100000001</v>
      </c>
      <c r="D17" s="38">
        <f t="shared" ref="D17:E17" si="0">SUM(D8:D11)-D14</f>
        <v>23375617.300000004</v>
      </c>
      <c r="E17" s="38">
        <f t="shared" si="0"/>
        <v>25466878</v>
      </c>
      <c r="F17" s="30"/>
      <c r="G17" s="96"/>
      <c r="H17" s="96"/>
      <c r="I17" s="96"/>
      <c r="J17" s="96"/>
      <c r="K17" s="96"/>
      <c r="L17" s="96"/>
      <c r="M17" s="96"/>
      <c r="N17" s="96"/>
      <c r="O17" s="96"/>
      <c r="P17" s="35"/>
    </row>
    <row r="18" spans="1:16" x14ac:dyDescent="0.35">
      <c r="A18" s="96"/>
      <c r="B18" s="96"/>
      <c r="C18" s="37"/>
      <c r="D18" s="37"/>
      <c r="E18" s="37"/>
      <c r="F18" s="30"/>
      <c r="G18" s="96"/>
      <c r="H18" s="96"/>
      <c r="I18" s="96"/>
      <c r="J18" s="96"/>
      <c r="K18" s="96"/>
      <c r="L18" s="96"/>
      <c r="M18" s="96"/>
      <c r="N18" s="96"/>
      <c r="O18" s="96"/>
      <c r="P18" s="35"/>
    </row>
    <row r="19" spans="1:16" x14ac:dyDescent="0.35">
      <c r="A19" s="97" t="s">
        <v>155</v>
      </c>
      <c r="B19" s="96"/>
      <c r="C19" s="37"/>
      <c r="D19" s="37"/>
      <c r="E19" s="37"/>
      <c r="F19" s="30"/>
      <c r="G19" s="96"/>
      <c r="H19" s="96"/>
      <c r="I19" s="96"/>
      <c r="J19" s="96"/>
      <c r="K19" s="96"/>
      <c r="L19" s="96"/>
      <c r="M19" s="96"/>
      <c r="N19" s="96"/>
      <c r="O19" s="96"/>
      <c r="P19" s="96"/>
    </row>
    <row r="20" spans="1:16" x14ac:dyDescent="0.35">
      <c r="A20" s="176" t="s">
        <v>81</v>
      </c>
      <c r="B20" s="176"/>
      <c r="C20" s="177">
        <f>SUM('SG&amp;A'!D9:G9)</f>
        <v>12600</v>
      </c>
      <c r="D20" s="177">
        <f>SUM('SG&amp;A'!H9:K9)</f>
        <v>600</v>
      </c>
      <c r="E20" s="177">
        <f>SUM('SG&amp;A'!L9:O9)</f>
        <v>2400</v>
      </c>
      <c r="F20" s="30"/>
      <c r="G20" s="96"/>
      <c r="H20" s="96"/>
      <c r="I20" s="96"/>
      <c r="J20" s="96"/>
      <c r="K20" s="96"/>
      <c r="L20" s="96"/>
      <c r="M20" s="96"/>
      <c r="N20" s="96"/>
      <c r="O20" s="96"/>
      <c r="P20" s="96"/>
    </row>
    <row r="21" spans="1:16" x14ac:dyDescent="0.35">
      <c r="A21" s="96"/>
      <c r="B21" s="96"/>
      <c r="C21" s="37"/>
      <c r="D21" s="37"/>
      <c r="E21" s="37"/>
      <c r="F21" s="30"/>
      <c r="G21" s="96"/>
      <c r="H21" s="96"/>
      <c r="I21" s="96"/>
      <c r="J21" s="96"/>
      <c r="K21" s="96"/>
      <c r="L21" s="96"/>
      <c r="M21" s="96"/>
      <c r="N21" s="96"/>
      <c r="O21" s="96"/>
      <c r="P21" s="96"/>
    </row>
    <row r="22" spans="1:16" x14ac:dyDescent="0.35">
      <c r="A22" s="29" t="s">
        <v>156</v>
      </c>
      <c r="B22" s="27"/>
      <c r="C22" s="38">
        <f>C20</f>
        <v>12600</v>
      </c>
      <c r="D22" s="38">
        <f t="shared" ref="D22:E22" si="1">D20</f>
        <v>600</v>
      </c>
      <c r="E22" s="38">
        <f t="shared" si="1"/>
        <v>2400</v>
      </c>
      <c r="F22" s="30"/>
      <c r="G22" s="96"/>
      <c r="H22" s="96"/>
      <c r="I22" s="96"/>
      <c r="J22" s="96"/>
      <c r="K22" s="96"/>
      <c r="L22" s="96"/>
      <c r="M22" s="96"/>
      <c r="N22" s="96"/>
      <c r="O22" s="96"/>
      <c r="P22" s="35"/>
    </row>
    <row r="23" spans="1:16" x14ac:dyDescent="0.35">
      <c r="A23" s="96"/>
      <c r="B23" s="96"/>
      <c r="C23" s="37"/>
      <c r="D23" s="37"/>
      <c r="E23" s="37"/>
      <c r="F23" s="30"/>
      <c r="G23" s="96"/>
      <c r="H23" s="96"/>
      <c r="I23" s="96"/>
      <c r="J23" s="96"/>
      <c r="K23" s="96"/>
      <c r="L23" s="96"/>
      <c r="M23" s="96"/>
      <c r="N23" s="96"/>
      <c r="O23" s="96"/>
      <c r="P23" s="35"/>
    </row>
    <row r="24" spans="1:16" x14ac:dyDescent="0.35">
      <c r="A24" s="97" t="s">
        <v>157</v>
      </c>
      <c r="B24" s="96"/>
      <c r="C24" s="37"/>
      <c r="D24" s="37"/>
      <c r="E24" s="37"/>
      <c r="F24" s="30"/>
      <c r="G24" s="96"/>
      <c r="H24" s="96"/>
      <c r="I24" s="96"/>
      <c r="J24" s="96"/>
      <c r="K24" s="96"/>
      <c r="L24" s="96"/>
      <c r="M24" s="96"/>
      <c r="N24" s="96"/>
      <c r="O24" s="96"/>
      <c r="P24" s="96"/>
    </row>
    <row r="25" spans="1:16" x14ac:dyDescent="0.35">
      <c r="A25" s="96"/>
      <c r="B25" s="96"/>
      <c r="C25" s="37"/>
      <c r="D25" s="37"/>
      <c r="E25" s="37"/>
      <c r="F25" s="30"/>
      <c r="G25" s="96"/>
      <c r="H25" s="96"/>
      <c r="I25" s="96"/>
      <c r="J25" s="96"/>
      <c r="K25" s="96"/>
      <c r="L25" s="96"/>
      <c r="M25" s="96"/>
      <c r="N25" s="96"/>
      <c r="O25" s="96"/>
      <c r="P25" s="96"/>
    </row>
    <row r="26" spans="1:16" x14ac:dyDescent="0.35">
      <c r="A26" s="96" t="s">
        <v>158</v>
      </c>
      <c r="B26" s="96"/>
      <c r="C26" s="178" t="s">
        <v>159</v>
      </c>
      <c r="D26" s="178" t="s">
        <v>159</v>
      </c>
      <c r="E26" s="178" t="s">
        <v>159</v>
      </c>
      <c r="F26" s="30"/>
      <c r="G26" s="96"/>
      <c r="H26" s="96"/>
      <c r="I26" s="96"/>
      <c r="J26" s="96"/>
      <c r="K26" s="96"/>
      <c r="L26" s="96"/>
      <c r="M26" s="96"/>
      <c r="N26" s="96"/>
      <c r="O26" s="96"/>
      <c r="P26" s="35"/>
    </row>
    <row r="27" spans="1:16" x14ac:dyDescent="0.35">
      <c r="A27" s="226" t="s">
        <v>136</v>
      </c>
      <c r="B27" s="204"/>
      <c r="C27" s="204">
        <v>6000000</v>
      </c>
      <c r="D27" s="204"/>
      <c r="E27" s="204"/>
      <c r="G27" s="96"/>
      <c r="H27" s="96"/>
      <c r="I27" s="96"/>
      <c r="J27" s="96"/>
      <c r="K27" s="96"/>
      <c r="L27" s="96"/>
      <c r="M27" s="96"/>
      <c r="N27" s="96"/>
      <c r="O27" s="96"/>
      <c r="P27" s="36"/>
    </row>
    <row r="28" spans="1:16" x14ac:dyDescent="0.35">
      <c r="A28" s="96"/>
      <c r="B28" s="96"/>
      <c r="C28" s="37"/>
      <c r="D28" s="37"/>
      <c r="E28" s="37"/>
      <c r="F28" s="30"/>
      <c r="G28" s="96"/>
      <c r="H28" s="96"/>
      <c r="I28" s="96"/>
      <c r="J28" s="96"/>
      <c r="K28" s="96"/>
      <c r="L28" s="96"/>
      <c r="M28" s="96"/>
      <c r="N28" s="96"/>
      <c r="O28" s="96"/>
      <c r="P28" s="96"/>
    </row>
    <row r="29" spans="1:16" x14ac:dyDescent="0.35">
      <c r="A29" s="29" t="s">
        <v>160</v>
      </c>
      <c r="B29" s="27"/>
      <c r="C29" s="179">
        <f>C27</f>
        <v>6000000</v>
      </c>
      <c r="D29" s="179">
        <f t="shared" ref="D29:E29" si="2">D27</f>
        <v>0</v>
      </c>
      <c r="E29" s="179">
        <f t="shared" si="2"/>
        <v>0</v>
      </c>
      <c r="F29" s="30"/>
      <c r="G29" s="96"/>
      <c r="H29" s="96"/>
      <c r="I29" s="96"/>
      <c r="J29" s="96"/>
      <c r="K29" s="96"/>
      <c r="L29" s="96"/>
      <c r="M29" s="96"/>
      <c r="N29" s="96"/>
      <c r="O29" s="96"/>
      <c r="P29" s="96"/>
    </row>
    <row r="30" spans="1:16" x14ac:dyDescent="0.35">
      <c r="A30" s="96"/>
      <c r="B30" s="96"/>
      <c r="C30" s="37"/>
      <c r="D30" s="37"/>
      <c r="E30" s="37"/>
      <c r="F30" s="30"/>
      <c r="G30" s="96"/>
      <c r="H30" s="96"/>
      <c r="I30" s="96"/>
      <c r="J30" s="96"/>
      <c r="K30" s="96"/>
      <c r="L30" s="96"/>
      <c r="M30" s="96"/>
      <c r="N30" s="96"/>
      <c r="O30" s="96"/>
      <c r="P30" s="96"/>
    </row>
    <row r="31" spans="1:16" ht="18.5" x14ac:dyDescent="0.45">
      <c r="A31" s="39" t="s">
        <v>161</v>
      </c>
      <c r="B31" s="40"/>
      <c r="C31" s="41">
        <f>C17-C22+C29</f>
        <v>30253148.100000001</v>
      </c>
      <c r="D31" s="41">
        <f>D17-D22+D29</f>
        <v>23375017.300000004</v>
      </c>
      <c r="E31" s="41">
        <f>E17-E22+E29</f>
        <v>25464478</v>
      </c>
      <c r="F31" s="30"/>
      <c r="G31" s="96"/>
      <c r="H31" s="96"/>
      <c r="I31" s="96"/>
      <c r="J31" s="96"/>
      <c r="K31" s="96"/>
      <c r="L31" s="96"/>
      <c r="M31" s="96"/>
      <c r="N31" s="96"/>
      <c r="O31" s="96"/>
      <c r="P31" s="96"/>
    </row>
    <row r="32" spans="1:16" x14ac:dyDescent="0.35">
      <c r="A32" s="96"/>
      <c r="B32" s="96"/>
      <c r="C32" s="37"/>
      <c r="D32" s="37"/>
      <c r="E32" s="37"/>
      <c r="F32" s="30"/>
      <c r="G32" s="96"/>
      <c r="H32" s="96"/>
      <c r="I32" s="96"/>
      <c r="J32" s="96"/>
      <c r="K32" s="96"/>
      <c r="L32" s="96"/>
      <c r="M32" s="96"/>
      <c r="N32" s="96"/>
      <c r="O32" s="96"/>
      <c r="P32" s="96"/>
    </row>
    <row r="33" spans="1:6" x14ac:dyDescent="0.35">
      <c r="A33" s="96" t="s">
        <v>162</v>
      </c>
      <c r="B33" s="96"/>
      <c r="C33" s="37">
        <f>BS!C35</f>
        <v>6000000</v>
      </c>
      <c r="D33" s="37">
        <f>C34</f>
        <v>36253148.100000001</v>
      </c>
      <c r="E33" s="37">
        <f>D34</f>
        <v>59628165.400000006</v>
      </c>
      <c r="F33" s="30"/>
    </row>
    <row r="34" spans="1:6" x14ac:dyDescent="0.35">
      <c r="A34" s="97" t="s">
        <v>163</v>
      </c>
      <c r="B34" s="96"/>
      <c r="C34" s="37">
        <f>C33+C31</f>
        <v>36253148.100000001</v>
      </c>
      <c r="D34" s="37">
        <f>D33+D31</f>
        <v>59628165.400000006</v>
      </c>
      <c r="E34" s="37">
        <f>E33+E31</f>
        <v>85092643.400000006</v>
      </c>
      <c r="F34" s="30"/>
    </row>
    <row r="36" spans="1:6" x14ac:dyDescent="0.35">
      <c r="A36" s="45"/>
      <c r="B36" s="96"/>
      <c r="C36" s="31"/>
      <c r="D36" s="31"/>
      <c r="E36" s="31"/>
      <c r="F36" s="96"/>
    </row>
    <row r="37" spans="1:6" x14ac:dyDescent="0.35">
      <c r="A37" s="96"/>
      <c r="B37" s="96"/>
      <c r="C37" s="96"/>
      <c r="D37" s="42"/>
      <c r="E37" s="96"/>
      <c r="F37" s="9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49CDDC7387BA4191402651B8127538" ma:contentTypeVersion="2" ma:contentTypeDescription="Create a new document." ma:contentTypeScope="" ma:versionID="ef28732988b926d5821f93734b6322ee">
  <xsd:schema xmlns:xsd="http://www.w3.org/2001/XMLSchema" xmlns:xs="http://www.w3.org/2001/XMLSchema" xmlns:p="http://schemas.microsoft.com/office/2006/metadata/properties" xmlns:ns3="e29b34d8-3881-4d6b-9d28-27e301936cd4" targetNamespace="http://schemas.microsoft.com/office/2006/metadata/properties" ma:root="true" ma:fieldsID="f56cc869763ef3cd567fa431ff9ed221" ns3:_="">
    <xsd:import namespace="e29b34d8-3881-4d6b-9d28-27e301936cd4"/>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b34d8-3881-4d6b-9d28-27e301936c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B9042A-334F-40C3-91B2-64198F137983}">
  <ds:schemaRefs>
    <ds:schemaRef ds:uri="http://schemas.microsoft.com/office/infopath/2007/PartnerControls"/>
    <ds:schemaRef ds:uri="e29b34d8-3881-4d6b-9d28-27e301936cd4"/>
    <ds:schemaRef ds:uri="http://purl.org/dc/terms/"/>
    <ds:schemaRef ds:uri="http://www.w3.org/XML/1998/namespace"/>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40B88C6-14A9-41A4-BF6F-AABFF09CA3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b34d8-3881-4d6b-9d28-27e301936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654681-0EA8-43AE-B640-3B5E9B8E76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Heading</vt:lpstr>
      <vt:lpstr>Sales Budget</vt:lpstr>
      <vt:lpstr>Production budget</vt:lpstr>
      <vt:lpstr>COGM</vt:lpstr>
      <vt:lpstr>COGS</vt:lpstr>
      <vt:lpstr>SG&amp;A</vt:lpstr>
      <vt:lpstr>Cash budget</vt:lpstr>
      <vt:lpstr>Income Statement</vt:lpstr>
      <vt:lpstr>Cash Flow statement</vt:lpstr>
      <vt:lpstr>BS</vt:lpstr>
      <vt:lpstr>S&amp;OP</vt:lpstr>
      <vt:lpstr>Gantt chart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m.s.a.boonen@hr.nl;Slooten</dc:creator>
  <cp:keywords/>
  <dc:description/>
  <cp:lastModifiedBy>Mykolas Mačiukas</cp:lastModifiedBy>
  <cp:revision/>
  <dcterms:created xsi:type="dcterms:W3CDTF">2019-02-13T15:12:34Z</dcterms:created>
  <dcterms:modified xsi:type="dcterms:W3CDTF">2021-03-30T10:11:06Z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0x010100E849CDDC7387BA4191402651B8127538</vt:lpwstr>
  </property>
</Properties>
</file>